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0" yWindow="0" windowWidth="20490" windowHeight="7320" tabRatio="789"/>
  </bookViews>
  <sheets>
    <sheet name="Cover         " sheetId="29" r:id="rId1"/>
    <sheet name="Déclaration Production" sheetId="79" r:id="rId2"/>
    <sheet name="Déclaration Consommation" sheetId="80" r:id="rId3"/>
    <sheet name="Frais de gestion" sheetId="70" r:id="rId4"/>
    <sheet name="Coûts " sheetId="78" r:id="rId5"/>
    <sheet name="Paramétrage Blocs" sheetId="65" r:id="rId6"/>
    <sheet name="Paramétrage Matières" sheetId="63" r:id="rId7"/>
  </sheets>
  <calcPr calcId="162913"/>
</workbook>
</file>

<file path=xl/calcChain.xml><?xml version="1.0" encoding="utf-8"?>
<calcChain xmlns="http://schemas.openxmlformats.org/spreadsheetml/2006/main">
  <c r="J9" i="65" l="1"/>
  <c r="J10" i="65"/>
  <c r="J11" i="65"/>
  <c r="J12" i="65"/>
  <c r="J13" i="65"/>
  <c r="J14" i="65"/>
  <c r="J15" i="65"/>
  <c r="J16" i="65"/>
  <c r="J17" i="65"/>
  <c r="J18" i="65"/>
  <c r="J19" i="65"/>
  <c r="J20" i="65"/>
  <c r="J21" i="65"/>
  <c r="J22" i="65"/>
  <c r="J23" i="65"/>
  <c r="J24" i="65"/>
  <c r="J25" i="65"/>
  <c r="J26" i="65"/>
  <c r="J27" i="65"/>
  <c r="J28" i="65"/>
  <c r="J29" i="65"/>
  <c r="J30" i="65"/>
  <c r="J31" i="65"/>
  <c r="J32" i="65"/>
  <c r="J33" i="65"/>
  <c r="J34" i="65"/>
  <c r="J35" i="65"/>
  <c r="J36" i="65"/>
  <c r="J37" i="65"/>
  <c r="J38" i="65"/>
  <c r="J39" i="65"/>
  <c r="J40" i="65"/>
  <c r="J8" i="65"/>
  <c r="I9" i="65"/>
  <c r="I10" i="65"/>
  <c r="I11" i="65"/>
  <c r="I12" i="65"/>
  <c r="I13" i="65"/>
  <c r="I14" i="65"/>
  <c r="I15" i="65"/>
  <c r="I16" i="65"/>
  <c r="I17" i="65"/>
  <c r="I18" i="65"/>
  <c r="I19" i="65"/>
  <c r="I20" i="65"/>
  <c r="I21" i="65"/>
  <c r="I22" i="65"/>
  <c r="I23" i="65"/>
  <c r="I24" i="65"/>
  <c r="I25" i="65"/>
  <c r="I26" i="65"/>
  <c r="I27" i="65"/>
  <c r="I28" i="65"/>
  <c r="I29" i="65"/>
  <c r="I30" i="65"/>
  <c r="I31" i="65"/>
  <c r="I32" i="65"/>
  <c r="I33" i="65"/>
  <c r="I34" i="65"/>
  <c r="I35" i="65"/>
  <c r="I36" i="65"/>
  <c r="I37" i="65"/>
  <c r="I38" i="65"/>
  <c r="I39" i="65"/>
  <c r="I40" i="65"/>
  <c r="I8" i="65"/>
  <c r="F13" i="65"/>
  <c r="E13" i="65"/>
  <c r="F12" i="65"/>
  <c r="E12" i="65"/>
  <c r="L8" i="80" l="1"/>
  <c r="L9" i="80"/>
  <c r="L10" i="80"/>
  <c r="L11" i="80"/>
  <c r="L12" i="80"/>
  <c r="L13" i="80"/>
  <c r="L14" i="80"/>
  <c r="L15" i="80"/>
  <c r="L16" i="80"/>
  <c r="L17" i="80"/>
  <c r="L18" i="80"/>
  <c r="L19" i="80"/>
  <c r="L20" i="80"/>
  <c r="L21" i="80"/>
  <c r="L22" i="80"/>
  <c r="L23" i="80"/>
  <c r="L24" i="80"/>
  <c r="L25" i="80"/>
  <c r="L26" i="80"/>
  <c r="L27" i="80"/>
  <c r="L28" i="80"/>
  <c r="L8" i="65" l="1"/>
  <c r="L9" i="65"/>
  <c r="L10" i="65"/>
  <c r="L11" i="65"/>
  <c r="L12" i="65"/>
  <c r="L13" i="65"/>
  <c r="L14" i="65"/>
  <c r="L15" i="65"/>
  <c r="L16" i="65"/>
  <c r="L17" i="65"/>
  <c r="L18" i="65"/>
  <c r="L19" i="65"/>
  <c r="L20" i="65"/>
  <c r="L21" i="65"/>
  <c r="L22" i="65"/>
  <c r="L23" i="65"/>
  <c r="L24" i="65"/>
  <c r="L25" i="65"/>
  <c r="L26" i="65"/>
  <c r="L27" i="65"/>
  <c r="L28" i="65"/>
  <c r="L29" i="65"/>
  <c r="L30" i="65"/>
  <c r="L31" i="65"/>
  <c r="L32" i="65"/>
  <c r="L33" i="65"/>
  <c r="L34" i="65"/>
  <c r="L35" i="65"/>
  <c r="L36" i="65"/>
  <c r="L37" i="65"/>
  <c r="L38" i="65"/>
  <c r="L39" i="65"/>
  <c r="L40" i="65"/>
  <c r="K8" i="65"/>
  <c r="K9" i="65"/>
  <c r="K10" i="65"/>
  <c r="K11" i="65"/>
  <c r="K12" i="65"/>
  <c r="K13" i="65"/>
  <c r="K14" i="65"/>
  <c r="K15" i="65"/>
  <c r="K16" i="65"/>
  <c r="K17" i="65"/>
  <c r="K18" i="65"/>
  <c r="K19" i="65"/>
  <c r="K20" i="65"/>
  <c r="K21" i="65"/>
  <c r="K22" i="65"/>
  <c r="K23" i="65"/>
  <c r="K24" i="65"/>
  <c r="K25" i="65"/>
  <c r="K26" i="65"/>
  <c r="K27" i="65"/>
  <c r="K28" i="65"/>
  <c r="K29" i="65"/>
  <c r="K30" i="65"/>
  <c r="K31" i="65"/>
  <c r="K32" i="65"/>
  <c r="K33" i="65"/>
  <c r="K34" i="65"/>
  <c r="K35" i="65"/>
  <c r="K36" i="65"/>
  <c r="K37" i="65"/>
  <c r="K38" i="65"/>
  <c r="K39" i="65"/>
  <c r="K40" i="65"/>
  <c r="C10" i="80" l="1"/>
  <c r="C26" i="80"/>
  <c r="E26" i="80" s="1"/>
  <c r="B12" i="80"/>
  <c r="G12" i="80" s="1"/>
  <c r="B13" i="80"/>
  <c r="G13" i="80" s="1"/>
  <c r="B14" i="80"/>
  <c r="G14" i="80" s="1"/>
  <c r="B15" i="80"/>
  <c r="C15" i="80" s="1"/>
  <c r="E15" i="80" s="1"/>
  <c r="B16" i="80"/>
  <c r="G16" i="80" s="1"/>
  <c r="B17" i="80"/>
  <c r="G17" i="80" s="1"/>
  <c r="B18" i="80"/>
  <c r="G18" i="80" s="1"/>
  <c r="B19" i="80"/>
  <c r="C19" i="80" s="1"/>
  <c r="E19" i="80" s="1"/>
  <c r="B20" i="80"/>
  <c r="G20" i="80" s="1"/>
  <c r="B21" i="80"/>
  <c r="G21" i="80" s="1"/>
  <c r="B22" i="80"/>
  <c r="G22" i="80" s="1"/>
  <c r="B23" i="80"/>
  <c r="C23" i="80" s="1"/>
  <c r="E23" i="80" s="1"/>
  <c r="B24" i="80"/>
  <c r="G24" i="80" s="1"/>
  <c r="B25" i="80"/>
  <c r="G25" i="80" s="1"/>
  <c r="B26" i="80"/>
  <c r="G26" i="80" s="1"/>
  <c r="B27" i="80"/>
  <c r="C27" i="80" s="1"/>
  <c r="B28" i="80"/>
  <c r="G28" i="80" s="1"/>
  <c r="B9" i="80"/>
  <c r="C9" i="80" s="1"/>
  <c r="B10" i="80"/>
  <c r="B11" i="80"/>
  <c r="C11" i="80" s="1"/>
  <c r="B8" i="80"/>
  <c r="C8" i="80" s="1"/>
  <c r="G15" i="80" l="1"/>
  <c r="C22" i="80"/>
  <c r="E22" i="80" s="1"/>
  <c r="C18" i="80"/>
  <c r="E18" i="80" s="1"/>
  <c r="G23" i="80"/>
  <c r="G27" i="80"/>
  <c r="C14" i="80"/>
  <c r="E14" i="80" s="1"/>
  <c r="G19" i="80"/>
  <c r="C25" i="80"/>
  <c r="E25" i="80" s="1"/>
  <c r="C21" i="80"/>
  <c r="E21" i="80" s="1"/>
  <c r="C17" i="80"/>
  <c r="E17" i="80" s="1"/>
  <c r="C13" i="80"/>
  <c r="E13" i="80" s="1"/>
  <c r="C28" i="80"/>
  <c r="E28" i="80" s="1"/>
  <c r="C24" i="80"/>
  <c r="E24" i="80" s="1"/>
  <c r="C20" i="80"/>
  <c r="E20" i="80" s="1"/>
  <c r="C16" i="80"/>
  <c r="E16" i="80" s="1"/>
  <c r="C12" i="80"/>
  <c r="E12" i="80" s="1"/>
  <c r="E27" i="80"/>
  <c r="B8" i="79"/>
  <c r="B9" i="79"/>
  <c r="B10" i="79"/>
  <c r="B11" i="79"/>
  <c r="B12" i="79"/>
  <c r="B13" i="79"/>
  <c r="B14" i="79"/>
  <c r="B15" i="79"/>
  <c r="B16" i="79"/>
  <c r="B17" i="79"/>
  <c r="B18" i="79"/>
  <c r="B19" i="79"/>
  <c r="B20" i="79"/>
  <c r="B21" i="79"/>
  <c r="B22" i="79"/>
  <c r="B23" i="79"/>
  <c r="B24" i="79"/>
  <c r="B25" i="79"/>
  <c r="B26" i="79"/>
  <c r="B27" i="79"/>
  <c r="B28" i="79"/>
  <c r="B8" i="78"/>
  <c r="Q8" i="78" s="1"/>
  <c r="C8" i="78" l="1"/>
  <c r="S8" i="78"/>
  <c r="D25" i="70"/>
  <c r="D23" i="70"/>
  <c r="F8" i="78" l="1"/>
  <c r="G8" i="78"/>
  <c r="B18" i="78"/>
  <c r="Q18" i="78" s="1"/>
  <c r="B19" i="78"/>
  <c r="Q19" i="78" s="1"/>
  <c r="B20" i="78"/>
  <c r="Q20" i="78" s="1"/>
  <c r="B21" i="78"/>
  <c r="Q21" i="78" s="1"/>
  <c r="B22" i="78"/>
  <c r="Q22" i="78" s="1"/>
  <c r="B23" i="78"/>
  <c r="Q23" i="78" s="1"/>
  <c r="B24" i="78"/>
  <c r="Q24" i="78" s="1"/>
  <c r="B25" i="78"/>
  <c r="Q25" i="78" s="1"/>
  <c r="B26" i="78"/>
  <c r="Q26" i="78" s="1"/>
  <c r="B27" i="78"/>
  <c r="Q27" i="78" s="1"/>
  <c r="B28" i="78"/>
  <c r="Q28" i="78" s="1"/>
  <c r="B29" i="78"/>
  <c r="Q29" i="78" s="1"/>
  <c r="B30" i="78"/>
  <c r="Q30" i="78" s="1"/>
  <c r="B31" i="78"/>
  <c r="Q31" i="78" s="1"/>
  <c r="B32" i="78"/>
  <c r="Q32" i="78" s="1"/>
  <c r="B33" i="78"/>
  <c r="Q33" i="78" s="1"/>
  <c r="B34" i="78"/>
  <c r="Q34" i="78" s="1"/>
  <c r="B35" i="78"/>
  <c r="Q35" i="78" s="1"/>
  <c r="B36" i="78"/>
  <c r="Q36" i="78" s="1"/>
  <c r="B37" i="78"/>
  <c r="Q37" i="78" s="1"/>
  <c r="B38" i="78"/>
  <c r="Q38" i="78" s="1"/>
  <c r="B39" i="78"/>
  <c r="Q39" i="78" s="1"/>
  <c r="B40" i="78"/>
  <c r="Q40" i="78" s="1"/>
  <c r="B9" i="78"/>
  <c r="Q9" i="78" s="1"/>
  <c r="B10" i="78"/>
  <c r="Q10" i="78" s="1"/>
  <c r="B11" i="78"/>
  <c r="Q11" i="78" s="1"/>
  <c r="B12" i="78"/>
  <c r="Q12" i="78" s="1"/>
  <c r="B13" i="78"/>
  <c r="Q13" i="78" s="1"/>
  <c r="B14" i="78"/>
  <c r="Q14" i="78" s="1"/>
  <c r="B15" i="78"/>
  <c r="Q15" i="78" s="1"/>
  <c r="B16" i="78"/>
  <c r="Q16" i="78" s="1"/>
  <c r="B17" i="78"/>
  <c r="Q17" i="78" s="1"/>
  <c r="K8" i="78"/>
  <c r="J8" i="78"/>
  <c r="F9" i="65"/>
  <c r="F10" i="65"/>
  <c r="F11" i="65"/>
  <c r="F18" i="65"/>
  <c r="F19" i="65"/>
  <c r="F20" i="65"/>
  <c r="F21" i="65"/>
  <c r="F22" i="65"/>
  <c r="F23" i="65"/>
  <c r="F24" i="65"/>
  <c r="F25" i="65"/>
  <c r="F26" i="65"/>
  <c r="F27" i="65"/>
  <c r="F28" i="65"/>
  <c r="F29" i="65"/>
  <c r="F30" i="65"/>
  <c r="F31" i="65"/>
  <c r="F32" i="65"/>
  <c r="F33" i="65"/>
  <c r="F34" i="65"/>
  <c r="F35" i="65"/>
  <c r="F36" i="65"/>
  <c r="F37" i="65"/>
  <c r="F38" i="65"/>
  <c r="F39" i="65"/>
  <c r="F40" i="65"/>
  <c r="F8" i="65"/>
  <c r="E8" i="78" s="1"/>
  <c r="E9" i="65"/>
  <c r="E10" i="65"/>
  <c r="E11" i="65"/>
  <c r="E18" i="65"/>
  <c r="E19" i="65"/>
  <c r="E20" i="65"/>
  <c r="E21" i="65"/>
  <c r="E22" i="65"/>
  <c r="E23" i="65"/>
  <c r="E24" i="65"/>
  <c r="E25" i="65"/>
  <c r="E26" i="65"/>
  <c r="E27" i="65"/>
  <c r="E28" i="65"/>
  <c r="E29" i="65"/>
  <c r="E30" i="65"/>
  <c r="E31" i="65"/>
  <c r="E32" i="65"/>
  <c r="E33" i="65"/>
  <c r="E34" i="65"/>
  <c r="E35" i="65"/>
  <c r="E36" i="65"/>
  <c r="E37" i="65"/>
  <c r="E38" i="65"/>
  <c r="E39" i="65"/>
  <c r="E40" i="65"/>
  <c r="E8" i="65"/>
  <c r="D8" i="78" s="1"/>
  <c r="C28" i="79"/>
  <c r="E28" i="79" s="1"/>
  <c r="C27" i="79"/>
  <c r="E27" i="79" s="1"/>
  <c r="C26" i="79"/>
  <c r="E26" i="79" s="1"/>
  <c r="C25" i="79"/>
  <c r="E25" i="79" s="1"/>
  <c r="C24" i="79"/>
  <c r="E24" i="79" s="1"/>
  <c r="C23" i="79"/>
  <c r="E23" i="79" s="1"/>
  <c r="C22" i="79"/>
  <c r="E22" i="79" s="1"/>
  <c r="C21" i="79"/>
  <c r="E21" i="79" s="1"/>
  <c r="C20" i="79"/>
  <c r="E20" i="79" s="1"/>
  <c r="C19" i="79"/>
  <c r="E19" i="79" s="1"/>
  <c r="C18" i="79"/>
  <c r="E18" i="79" s="1"/>
  <c r="C17" i="79"/>
  <c r="E17" i="79" s="1"/>
  <c r="C16" i="79"/>
  <c r="E16" i="79" s="1"/>
  <c r="C15" i="79"/>
  <c r="E15" i="79" s="1"/>
  <c r="C14" i="79"/>
  <c r="E14" i="79" s="1"/>
  <c r="C13" i="79"/>
  <c r="E13" i="79" s="1"/>
  <c r="C12" i="79"/>
  <c r="E12" i="79" s="1"/>
  <c r="C11" i="79"/>
  <c r="E11" i="79" s="1"/>
  <c r="C10" i="79"/>
  <c r="E10" i="79" s="1"/>
  <c r="C9" i="79"/>
  <c r="E9" i="79" s="1"/>
  <c r="C8" i="79"/>
  <c r="E8" i="79" s="1"/>
  <c r="D4" i="79"/>
  <c r="S13" i="78" l="1"/>
  <c r="C13" i="78"/>
  <c r="F13" i="78" s="1"/>
  <c r="S37" i="78"/>
  <c r="C37" i="78"/>
  <c r="F37" i="78" s="1"/>
  <c r="S29" i="78"/>
  <c r="C29" i="78"/>
  <c r="F29" i="78" s="1"/>
  <c r="S25" i="78"/>
  <c r="C25" i="78"/>
  <c r="F25" i="78" s="1"/>
  <c r="C16" i="78"/>
  <c r="F16" i="78" s="1"/>
  <c r="S16" i="78"/>
  <c r="C40" i="78"/>
  <c r="F40" i="78" s="1"/>
  <c r="S40" i="78"/>
  <c r="C32" i="78"/>
  <c r="F32" i="78" s="1"/>
  <c r="S32" i="78"/>
  <c r="C24" i="78"/>
  <c r="F24" i="78" s="1"/>
  <c r="S24" i="78"/>
  <c r="C15" i="78"/>
  <c r="F15" i="78" s="1"/>
  <c r="S15" i="78"/>
  <c r="C11" i="78"/>
  <c r="F11" i="78" s="1"/>
  <c r="S11" i="78"/>
  <c r="C39" i="78"/>
  <c r="F39" i="78" s="1"/>
  <c r="S39" i="78"/>
  <c r="C35" i="78"/>
  <c r="F35" i="78" s="1"/>
  <c r="S35" i="78"/>
  <c r="C31" i="78"/>
  <c r="F31" i="78" s="1"/>
  <c r="S31" i="78"/>
  <c r="C27" i="78"/>
  <c r="F27" i="78" s="1"/>
  <c r="S27" i="78"/>
  <c r="C23" i="78"/>
  <c r="F23" i="78" s="1"/>
  <c r="S23" i="78"/>
  <c r="C19" i="78"/>
  <c r="F19" i="78" s="1"/>
  <c r="S19" i="78"/>
  <c r="S17" i="78"/>
  <c r="C17" i="78"/>
  <c r="F17" i="78" s="1"/>
  <c r="S9" i="78"/>
  <c r="C9" i="78"/>
  <c r="S33" i="78"/>
  <c r="C33" i="78"/>
  <c r="F33" i="78" s="1"/>
  <c r="S21" i="78"/>
  <c r="C21" i="78"/>
  <c r="F21" i="78" s="1"/>
  <c r="C12" i="78"/>
  <c r="F12" i="78" s="1"/>
  <c r="S12" i="78"/>
  <c r="C36" i="78"/>
  <c r="F36" i="78" s="1"/>
  <c r="S36" i="78"/>
  <c r="C28" i="78"/>
  <c r="F28" i="78" s="1"/>
  <c r="S28" i="78"/>
  <c r="C20" i="78"/>
  <c r="F20" i="78" s="1"/>
  <c r="S20" i="78"/>
  <c r="C14" i="78"/>
  <c r="F14" i="78" s="1"/>
  <c r="S14" i="78"/>
  <c r="C10" i="78"/>
  <c r="F10" i="78" s="1"/>
  <c r="S10" i="78"/>
  <c r="C38" i="78"/>
  <c r="F38" i="78" s="1"/>
  <c r="S38" i="78"/>
  <c r="C34" i="78"/>
  <c r="F34" i="78" s="1"/>
  <c r="S34" i="78"/>
  <c r="C30" i="78"/>
  <c r="F30" i="78" s="1"/>
  <c r="S30" i="78"/>
  <c r="C26" i="78"/>
  <c r="F26" i="78" s="1"/>
  <c r="S26" i="78"/>
  <c r="C22" i="78"/>
  <c r="F22" i="78" s="1"/>
  <c r="S22" i="78"/>
  <c r="C18" i="78"/>
  <c r="F18" i="78" s="1"/>
  <c r="S18" i="78"/>
  <c r="D5" i="79"/>
  <c r="S4" i="78" l="1"/>
  <c r="C4" i="78"/>
  <c r="Q4" i="78"/>
  <c r="F9" i="78"/>
  <c r="D24" i="70"/>
  <c r="C5" i="70" s="1"/>
  <c r="E26" i="78"/>
  <c r="H26" i="78"/>
  <c r="D26" i="78"/>
  <c r="K26" i="78"/>
  <c r="J26" i="78"/>
  <c r="I26" i="78"/>
  <c r="G26" i="78"/>
  <c r="K12" i="78"/>
  <c r="J12" i="78"/>
  <c r="G12" i="78"/>
  <c r="E12" i="78"/>
  <c r="D12" i="78"/>
  <c r="D33" i="78"/>
  <c r="K33" i="78"/>
  <c r="J33" i="78"/>
  <c r="I33" i="78"/>
  <c r="H33" i="78"/>
  <c r="G33" i="78"/>
  <c r="E33" i="78"/>
  <c r="E19" i="78"/>
  <c r="I19" i="78"/>
  <c r="H19" i="78"/>
  <c r="G19" i="78"/>
  <c r="D19" i="78"/>
  <c r="K19" i="78"/>
  <c r="J19" i="78"/>
  <c r="E35" i="78"/>
  <c r="D35" i="78"/>
  <c r="K35" i="78"/>
  <c r="J35" i="78"/>
  <c r="G35" i="78"/>
  <c r="I35" i="78"/>
  <c r="H35" i="78"/>
  <c r="K16" i="78"/>
  <c r="J16" i="78"/>
  <c r="G16" i="78"/>
  <c r="E16" i="78"/>
  <c r="D16" i="78"/>
  <c r="D29" i="78"/>
  <c r="K29" i="78"/>
  <c r="J29" i="78"/>
  <c r="I29" i="78"/>
  <c r="H29" i="78"/>
  <c r="G29" i="78"/>
  <c r="E29" i="78"/>
  <c r="E22" i="78"/>
  <c r="J22" i="78"/>
  <c r="I22" i="78"/>
  <c r="D22" i="78"/>
  <c r="K22" i="78"/>
  <c r="H22" i="78"/>
  <c r="G22" i="78"/>
  <c r="E38" i="78"/>
  <c r="K38" i="78"/>
  <c r="J38" i="78"/>
  <c r="D38" i="78"/>
  <c r="I38" i="78"/>
  <c r="H38" i="78"/>
  <c r="G38" i="78"/>
  <c r="E14" i="78"/>
  <c r="J14" i="78"/>
  <c r="D14" i="78"/>
  <c r="K14" i="78"/>
  <c r="G14" i="78"/>
  <c r="K36" i="78"/>
  <c r="J36" i="78"/>
  <c r="I36" i="78"/>
  <c r="H36" i="78"/>
  <c r="G36" i="78"/>
  <c r="E36" i="78"/>
  <c r="D36" i="78"/>
  <c r="D21" i="78"/>
  <c r="K21" i="78"/>
  <c r="J21" i="78"/>
  <c r="I21" i="78"/>
  <c r="H21" i="78"/>
  <c r="G21" i="78"/>
  <c r="E21" i="78"/>
  <c r="D17" i="78"/>
  <c r="K17" i="78"/>
  <c r="J17" i="78"/>
  <c r="G17" i="78"/>
  <c r="E17" i="78"/>
  <c r="E31" i="78"/>
  <c r="D31" i="78"/>
  <c r="I31" i="78"/>
  <c r="H31" i="78"/>
  <c r="K31" i="78"/>
  <c r="J31" i="78"/>
  <c r="G31" i="78"/>
  <c r="K40" i="78"/>
  <c r="J40" i="78"/>
  <c r="I40" i="78"/>
  <c r="H40" i="78"/>
  <c r="G40" i="78"/>
  <c r="E40" i="78"/>
  <c r="D40" i="78"/>
  <c r="D25" i="78"/>
  <c r="K25" i="78"/>
  <c r="J25" i="78"/>
  <c r="I25" i="78"/>
  <c r="H25" i="78"/>
  <c r="G25" i="78"/>
  <c r="E25" i="78"/>
  <c r="E18" i="78"/>
  <c r="H18" i="78"/>
  <c r="D18" i="78"/>
  <c r="K18" i="78"/>
  <c r="J18" i="78"/>
  <c r="I18" i="78"/>
  <c r="G18" i="78"/>
  <c r="E34" i="78"/>
  <c r="H34" i="78"/>
  <c r="D34" i="78"/>
  <c r="K34" i="78"/>
  <c r="J34" i="78"/>
  <c r="I34" i="78"/>
  <c r="G34" i="78"/>
  <c r="K28" i="78"/>
  <c r="J28" i="78"/>
  <c r="I28" i="78"/>
  <c r="H28" i="78"/>
  <c r="G28" i="78"/>
  <c r="E28" i="78"/>
  <c r="D28" i="78"/>
  <c r="E27" i="78"/>
  <c r="D27" i="78"/>
  <c r="K27" i="78"/>
  <c r="J27" i="78"/>
  <c r="I27" i="78"/>
  <c r="H27" i="78"/>
  <c r="L27" i="78" s="1"/>
  <c r="G27" i="78"/>
  <c r="E11" i="78"/>
  <c r="K11" i="78"/>
  <c r="J11" i="78"/>
  <c r="G11" i="78"/>
  <c r="D11" i="78"/>
  <c r="K32" i="78"/>
  <c r="J32" i="78"/>
  <c r="I32" i="78"/>
  <c r="H32" i="78"/>
  <c r="G32" i="78"/>
  <c r="E32" i="78"/>
  <c r="D32" i="78"/>
  <c r="D13" i="78"/>
  <c r="K13" i="78"/>
  <c r="J13" i="78"/>
  <c r="G13" i="78"/>
  <c r="E13" i="78"/>
  <c r="E15" i="78"/>
  <c r="D15" i="78"/>
  <c r="J15" i="78"/>
  <c r="K15" i="78"/>
  <c r="G15" i="78"/>
  <c r="E30" i="78"/>
  <c r="K30" i="78"/>
  <c r="J30" i="78"/>
  <c r="I30" i="78"/>
  <c r="D30" i="78"/>
  <c r="H30" i="78"/>
  <c r="G30" i="78"/>
  <c r="E10" i="78"/>
  <c r="K10" i="78"/>
  <c r="G10" i="78"/>
  <c r="D10" i="78"/>
  <c r="J10" i="78"/>
  <c r="K20" i="78"/>
  <c r="J20" i="78"/>
  <c r="I20" i="78"/>
  <c r="H20" i="78"/>
  <c r="G20" i="78"/>
  <c r="E20" i="78"/>
  <c r="D20" i="78"/>
  <c r="D9" i="78"/>
  <c r="K9" i="78"/>
  <c r="J9" i="78"/>
  <c r="G9" i="78"/>
  <c r="E9" i="78"/>
  <c r="E23" i="78"/>
  <c r="K23" i="78"/>
  <c r="J23" i="78"/>
  <c r="I23" i="78"/>
  <c r="H23" i="78"/>
  <c r="L23" i="78" s="1"/>
  <c r="D23" i="78"/>
  <c r="G23" i="78"/>
  <c r="E39" i="78"/>
  <c r="K39" i="78"/>
  <c r="J39" i="78"/>
  <c r="I39" i="78"/>
  <c r="H39" i="78"/>
  <c r="D39" i="78"/>
  <c r="G39" i="78"/>
  <c r="K24" i="78"/>
  <c r="J24" i="78"/>
  <c r="I24" i="78"/>
  <c r="H24" i="78"/>
  <c r="G24" i="78"/>
  <c r="E24" i="78"/>
  <c r="D24" i="78"/>
  <c r="D37" i="78"/>
  <c r="K37" i="78"/>
  <c r="J37" i="78"/>
  <c r="I37" i="78"/>
  <c r="H37" i="78"/>
  <c r="G37" i="78"/>
  <c r="E37" i="78"/>
  <c r="G12" i="63"/>
  <c r="I9" i="78"/>
  <c r="I13" i="78"/>
  <c r="I17" i="78"/>
  <c r="I8" i="78"/>
  <c r="I11" i="78"/>
  <c r="I12" i="78"/>
  <c r="I15" i="78"/>
  <c r="I16" i="78"/>
  <c r="G8" i="63"/>
  <c r="L31" i="78" l="1"/>
  <c r="L22" i="78"/>
  <c r="L29" i="78"/>
  <c r="L18" i="78"/>
  <c r="L20" i="78"/>
  <c r="L25" i="78"/>
  <c r="L28" i="78"/>
  <c r="L40" i="78"/>
  <c r="L38" i="78"/>
  <c r="L19" i="78"/>
  <c r="L26" i="78"/>
  <c r="L32" i="78"/>
  <c r="L34" i="78"/>
  <c r="L35" i="78"/>
  <c r="L33" i="78"/>
  <c r="L39" i="78"/>
  <c r="L37" i="78"/>
  <c r="L24" i="78"/>
  <c r="L30" i="78"/>
  <c r="L21" i="78"/>
  <c r="L36" i="78"/>
  <c r="K4" i="78"/>
  <c r="F10" i="80"/>
  <c r="G10" i="80" s="1"/>
  <c r="F4" i="78"/>
  <c r="E4" i="78"/>
  <c r="D4" i="78"/>
  <c r="G4" i="78"/>
  <c r="J4" i="78"/>
  <c r="F8" i="80"/>
  <c r="G8" i="80" s="1"/>
  <c r="E8" i="80"/>
  <c r="F9" i="80"/>
  <c r="G9" i="80" s="1"/>
  <c r="F11" i="80"/>
  <c r="G11" i="80" s="1"/>
  <c r="E9" i="80"/>
  <c r="E10" i="80"/>
  <c r="E11" i="80"/>
  <c r="O31" i="78"/>
  <c r="O16" i="78"/>
  <c r="O25" i="78"/>
  <c r="O35" i="78"/>
  <c r="O33" i="78"/>
  <c r="O15" i="78"/>
  <c r="O39" i="78"/>
  <c r="O37" i="78"/>
  <c r="O32" i="78"/>
  <c r="O10" i="78"/>
  <c r="O12" i="78"/>
  <c r="O20" i="78"/>
  <c r="O26" i="78"/>
  <c r="O22" i="78"/>
  <c r="O30" i="78"/>
  <c r="O27" i="78"/>
  <c r="O9" i="78"/>
  <c r="O19" i="78"/>
  <c r="O17" i="78"/>
  <c r="O14" i="78"/>
  <c r="O23" i="78"/>
  <c r="O21" i="78"/>
  <c r="O8" i="78"/>
  <c r="O29" i="78"/>
  <c r="O11" i="78"/>
  <c r="O28" i="78"/>
  <c r="O34" i="78"/>
  <c r="O36" i="78"/>
  <c r="O13" i="78"/>
  <c r="O38" i="78"/>
  <c r="O40" i="78"/>
  <c r="O18" i="78"/>
  <c r="O24" i="78"/>
  <c r="I14" i="78"/>
  <c r="I10" i="78"/>
  <c r="I4" i="78" l="1"/>
  <c r="O4" i="78"/>
  <c r="D4" i="80"/>
  <c r="G17" i="63"/>
  <c r="G18" i="63"/>
  <c r="G19" i="63"/>
  <c r="G20" i="63"/>
  <c r="G21" i="63"/>
  <c r="G22" i="63"/>
  <c r="G23" i="63"/>
  <c r="G24" i="63"/>
  <c r="G25" i="63"/>
  <c r="G26" i="63"/>
  <c r="G27" i="63"/>
  <c r="G28" i="63"/>
  <c r="G29" i="63"/>
  <c r="G30" i="63"/>
  <c r="G31" i="63"/>
  <c r="G32" i="63"/>
  <c r="G33" i="63"/>
  <c r="G34" i="63"/>
  <c r="G35" i="63"/>
  <c r="G36" i="63"/>
  <c r="G37" i="63"/>
  <c r="G38" i="63"/>
  <c r="G39" i="63"/>
  <c r="G16" i="63"/>
  <c r="G15" i="63"/>
  <c r="G14" i="63"/>
  <c r="G13" i="63"/>
  <c r="M9" i="78" l="1"/>
  <c r="M13" i="78"/>
  <c r="M17" i="78"/>
  <c r="M21" i="78"/>
  <c r="N21" i="78" s="1"/>
  <c r="P21" i="78" s="1"/>
  <c r="R21" i="78" s="1"/>
  <c r="M25" i="78"/>
  <c r="N25" i="78" s="1"/>
  <c r="P25" i="78" s="1"/>
  <c r="R25" i="78" s="1"/>
  <c r="M29" i="78"/>
  <c r="N29" i="78" s="1"/>
  <c r="P29" i="78" s="1"/>
  <c r="R29" i="78" s="1"/>
  <c r="M33" i="78"/>
  <c r="N33" i="78" s="1"/>
  <c r="P33" i="78" s="1"/>
  <c r="R33" i="78" s="1"/>
  <c r="M37" i="78"/>
  <c r="N37" i="78" s="1"/>
  <c r="P37" i="78" s="1"/>
  <c r="R37" i="78" s="1"/>
  <c r="M8" i="78"/>
  <c r="M15" i="78"/>
  <c r="M19" i="78"/>
  <c r="N19" i="78" s="1"/>
  <c r="P19" i="78" s="1"/>
  <c r="R19" i="78" s="1"/>
  <c r="M27" i="78"/>
  <c r="N27" i="78" s="1"/>
  <c r="P27" i="78" s="1"/>
  <c r="R27" i="78" s="1"/>
  <c r="M20" i="78"/>
  <c r="N20" i="78" s="1"/>
  <c r="P20" i="78" s="1"/>
  <c r="R20" i="78" s="1"/>
  <c r="M32" i="78"/>
  <c r="N32" i="78" s="1"/>
  <c r="P32" i="78" s="1"/>
  <c r="R32" i="78" s="1"/>
  <c r="M40" i="78"/>
  <c r="N40" i="78" s="1"/>
  <c r="P40" i="78" s="1"/>
  <c r="R40" i="78" s="1"/>
  <c r="M10" i="78"/>
  <c r="M14" i="78"/>
  <c r="M18" i="78"/>
  <c r="N18" i="78" s="1"/>
  <c r="P18" i="78" s="1"/>
  <c r="R18" i="78" s="1"/>
  <c r="M22" i="78"/>
  <c r="N22" i="78" s="1"/>
  <c r="P22" i="78" s="1"/>
  <c r="R22" i="78" s="1"/>
  <c r="M26" i="78"/>
  <c r="N26" i="78" s="1"/>
  <c r="P26" i="78" s="1"/>
  <c r="R26" i="78" s="1"/>
  <c r="M30" i="78"/>
  <c r="N30" i="78" s="1"/>
  <c r="P30" i="78" s="1"/>
  <c r="R30" i="78" s="1"/>
  <c r="M34" i="78"/>
  <c r="N34" i="78" s="1"/>
  <c r="P34" i="78" s="1"/>
  <c r="R34" i="78" s="1"/>
  <c r="M38" i="78"/>
  <c r="N38" i="78" s="1"/>
  <c r="P38" i="78" s="1"/>
  <c r="R38" i="78" s="1"/>
  <c r="M11" i="78"/>
  <c r="M23" i="78"/>
  <c r="N23" i="78" s="1"/>
  <c r="P23" i="78" s="1"/>
  <c r="R23" i="78" s="1"/>
  <c r="M31" i="78"/>
  <c r="N31" i="78" s="1"/>
  <c r="P31" i="78" s="1"/>
  <c r="R31" i="78" s="1"/>
  <c r="M35" i="78"/>
  <c r="N35" i="78" s="1"/>
  <c r="P35" i="78" s="1"/>
  <c r="R35" i="78" s="1"/>
  <c r="M39" i="78"/>
  <c r="N39" i="78" s="1"/>
  <c r="P39" i="78" s="1"/>
  <c r="R39" i="78" s="1"/>
  <c r="M12" i="78"/>
  <c r="M16" i="78"/>
  <c r="M24" i="78"/>
  <c r="N24" i="78" s="1"/>
  <c r="P24" i="78" s="1"/>
  <c r="R24" i="78" s="1"/>
  <c r="M28" i="78"/>
  <c r="N28" i="78" s="1"/>
  <c r="P28" i="78" s="1"/>
  <c r="R28" i="78" s="1"/>
  <c r="M36" i="78"/>
  <c r="N36" i="78" s="1"/>
  <c r="P36" i="78" s="1"/>
  <c r="R36" i="78" s="1"/>
  <c r="G9" i="63"/>
  <c r="G10" i="63"/>
  <c r="G11" i="63"/>
  <c r="G7" i="63"/>
  <c r="M4" i="78" l="1"/>
  <c r="T23" i="78"/>
  <c r="U23" i="78" s="1"/>
  <c r="T39" i="78"/>
  <c r="U39" i="78" s="1"/>
  <c r="T37" i="78"/>
  <c r="U37" i="78" s="1"/>
  <c r="T24" i="78"/>
  <c r="U24" i="78" s="1"/>
  <c r="T38" i="78"/>
  <c r="U38" i="78" s="1"/>
  <c r="T22" i="78"/>
  <c r="U22" i="78" s="1"/>
  <c r="T40" i="78"/>
  <c r="U40" i="78" s="1"/>
  <c r="T19" i="78"/>
  <c r="U19" i="78" s="1"/>
  <c r="T33" i="78"/>
  <c r="U33" i="78" s="1"/>
  <c r="T36" i="78"/>
  <c r="U36" i="78" s="1"/>
  <c r="T28" i="78"/>
  <c r="U28" i="78" s="1"/>
  <c r="T26" i="78"/>
  <c r="U26" i="78" s="1"/>
  <c r="T27" i="78"/>
  <c r="U27" i="78" s="1"/>
  <c r="T21" i="78"/>
  <c r="U21" i="78" s="1"/>
  <c r="T35" i="78"/>
  <c r="U35" i="78" s="1"/>
  <c r="T31" i="78"/>
  <c r="U31" i="78" s="1"/>
  <c r="T34" i="78"/>
  <c r="U34" i="78" s="1"/>
  <c r="T18" i="78"/>
  <c r="U18" i="78" s="1"/>
  <c r="T32" i="78"/>
  <c r="U32" i="78" s="1"/>
  <c r="T29" i="78"/>
  <c r="U29" i="78" s="1"/>
  <c r="T30" i="78"/>
  <c r="U30" i="78" s="1"/>
  <c r="T20" i="78"/>
  <c r="U20" i="78" s="1"/>
  <c r="T25" i="78"/>
  <c r="U25" i="78" s="1"/>
  <c r="H11" i="78"/>
  <c r="H15" i="78"/>
  <c r="H16" i="78"/>
  <c r="H8" i="78"/>
  <c r="H13" i="78"/>
  <c r="H10" i="78"/>
  <c r="H12" i="78"/>
  <c r="H9" i="78"/>
  <c r="H17" i="78"/>
  <c r="H14" i="78"/>
  <c r="H4" i="78" l="1"/>
  <c r="L17" i="78"/>
  <c r="L16" i="78"/>
  <c r="L14" i="78"/>
  <c r="L10" i="78"/>
  <c r="L13" i="78"/>
  <c r="L8" i="78"/>
  <c r="L9" i="78"/>
  <c r="L15" i="78"/>
  <c r="L12" i="78"/>
  <c r="L11" i="78"/>
  <c r="N8" i="78" l="1"/>
  <c r="P8" i="78" s="1"/>
  <c r="R8" i="78" s="1"/>
  <c r="L4" i="78"/>
  <c r="N10" i="78"/>
  <c r="P10" i="78" s="1"/>
  <c r="R10" i="78" s="1"/>
  <c r="N9" i="78"/>
  <c r="P9" i="78" s="1"/>
  <c r="R9" i="78" s="1"/>
  <c r="N14" i="78"/>
  <c r="P14" i="78" s="1"/>
  <c r="R14" i="78" s="1"/>
  <c r="N15" i="78"/>
  <c r="P15" i="78" s="1"/>
  <c r="R15" i="78" s="1"/>
  <c r="N11" i="78"/>
  <c r="P11" i="78" s="1"/>
  <c r="R11" i="78" s="1"/>
  <c r="N16" i="78"/>
  <c r="P16" i="78" s="1"/>
  <c r="R16" i="78" s="1"/>
  <c r="N12" i="78"/>
  <c r="P12" i="78" s="1"/>
  <c r="R12" i="78" s="1"/>
  <c r="N13" i="78"/>
  <c r="P13" i="78" s="1"/>
  <c r="R13" i="78" s="1"/>
  <c r="N17" i="78"/>
  <c r="P17" i="78" s="1"/>
  <c r="R17" i="78" s="1"/>
  <c r="T4" i="78" l="1"/>
  <c r="U4" i="78" s="1"/>
  <c r="N4" i="78"/>
  <c r="P4" i="78" s="1"/>
  <c r="T12" i="78"/>
  <c r="U12" i="78" s="1"/>
  <c r="T14" i="78"/>
  <c r="U14" i="78" s="1"/>
  <c r="T13" i="78"/>
  <c r="U13" i="78" s="1"/>
  <c r="T16" i="78"/>
  <c r="U16" i="78" s="1"/>
  <c r="T9" i="78"/>
  <c r="U9" i="78" s="1"/>
  <c r="T15" i="78"/>
  <c r="U15" i="78" s="1"/>
  <c r="T17" i="78"/>
  <c r="U17" i="78" s="1"/>
  <c r="T11" i="78"/>
  <c r="U11" i="78" s="1"/>
  <c r="T10" i="78"/>
  <c r="U10" i="78" s="1"/>
  <c r="T8" i="78"/>
  <c r="U8" i="78" s="1"/>
  <c r="R4" i="78" l="1"/>
</calcChain>
</file>

<file path=xl/sharedStrings.xml><?xml version="1.0" encoding="utf-8"?>
<sst xmlns="http://schemas.openxmlformats.org/spreadsheetml/2006/main" count="161" uniqueCount="116">
  <si>
    <t>Zénith Management Consulting @Copyrights 2020</t>
  </si>
  <si>
    <t>Outil de calcul &amp; suivi des coûts</t>
  </si>
  <si>
    <t>Type</t>
  </si>
  <si>
    <t>Unité</t>
  </si>
  <si>
    <t>Terre</t>
  </si>
  <si>
    <t>Ciment</t>
  </si>
  <si>
    <t>Kg</t>
  </si>
  <si>
    <t>PCB</t>
  </si>
  <si>
    <t>Prix d'achat</t>
  </si>
  <si>
    <t>Emballage</t>
  </si>
  <si>
    <t>Bâches</t>
  </si>
  <si>
    <t>Article  / désignation</t>
  </si>
  <si>
    <t>m</t>
  </si>
  <si>
    <t>Bande de cerclage</t>
  </si>
  <si>
    <t>Palette</t>
  </si>
  <si>
    <t>MP</t>
  </si>
  <si>
    <t>Divers</t>
  </si>
  <si>
    <t>Electricité</t>
  </si>
  <si>
    <t>Eau</t>
  </si>
  <si>
    <t>Assurance</t>
  </si>
  <si>
    <t>Téléphone</t>
  </si>
  <si>
    <t>Royalties</t>
  </si>
  <si>
    <t>Entretien &amp; réparation</t>
  </si>
  <si>
    <t>Autres frais ( Tenue,….)</t>
  </si>
  <si>
    <t>Energie/Eau</t>
  </si>
  <si>
    <t>Maintenance</t>
  </si>
  <si>
    <t>Main d'œuvre</t>
  </si>
  <si>
    <t>Emprunts bancaires</t>
  </si>
  <si>
    <t>Prix d'achat unitaire</t>
  </si>
  <si>
    <t>Loyer</t>
  </si>
  <si>
    <t>Types blocs</t>
  </si>
  <si>
    <t>Poids du bloc en kg</t>
  </si>
  <si>
    <t>BLOC a conduit 22 cm</t>
  </si>
  <si>
    <t>BLOC chaperon 22 cm</t>
  </si>
  <si>
    <t>Composition</t>
  </si>
  <si>
    <t xml:space="preserve">Nombre de total de blocs : </t>
  </si>
  <si>
    <t>BlOC BTC 22 cm</t>
  </si>
  <si>
    <t>BLOC BTC 18 cm</t>
  </si>
  <si>
    <t>BlOC BTC 15 cm</t>
  </si>
  <si>
    <t>BLOC spliter 22 cm</t>
  </si>
  <si>
    <t>Quantité produite par type de bloc</t>
  </si>
  <si>
    <t>Coût matière/Bloc</t>
  </si>
  <si>
    <t>Salaires</t>
  </si>
  <si>
    <t>Paramétrage des articles achetés</t>
  </si>
  <si>
    <t>Fournitures de bureau</t>
  </si>
  <si>
    <t xml:space="preserve">Charges Financières </t>
  </si>
  <si>
    <t>Poids (kg)</t>
  </si>
  <si>
    <t>Poids Total (Kg)</t>
  </si>
  <si>
    <t xml:space="preserve">Poids total produit : </t>
  </si>
  <si>
    <t>Blocs</t>
  </si>
  <si>
    <t>Frais en utilités (lubrifiants, filtres, etc )</t>
  </si>
  <si>
    <t>Coût Terre / Bloc</t>
  </si>
  <si>
    <t>Coût Ciment / Bloc</t>
  </si>
  <si>
    <t>Consommable</t>
  </si>
  <si>
    <t>Carburant</t>
  </si>
  <si>
    <t>Amortissements</t>
  </si>
  <si>
    <t>Investissement</t>
  </si>
  <si>
    <t>Quantité produite</t>
  </si>
  <si>
    <t>Coût Palette / Bloc</t>
  </si>
  <si>
    <t>Coût Bande de cerclage / Bloc</t>
  </si>
  <si>
    <t>Quantité matière</t>
  </si>
  <si>
    <t>Quantité Produite</t>
  </si>
  <si>
    <t xml:space="preserve">Total des frais : </t>
  </si>
  <si>
    <t>FOPROLOS/ TFP (1% +1% =2% salaire brut)</t>
  </si>
  <si>
    <t>TCL ( 0,2% CA )</t>
  </si>
  <si>
    <t>Charge patronale (17,07%)</t>
  </si>
  <si>
    <t>Taxe</t>
  </si>
  <si>
    <t>Terre (kg)</t>
  </si>
  <si>
    <t>Ciment (kg)</t>
  </si>
  <si>
    <t>Bande de cerclage (m)</t>
  </si>
  <si>
    <t>Prix de vente</t>
  </si>
  <si>
    <t>Paramétrage des blocs : Composition et prix</t>
  </si>
  <si>
    <t>Suivi des coûts réels</t>
  </si>
  <si>
    <t>Marge / Bloc</t>
  </si>
  <si>
    <t/>
  </si>
  <si>
    <t>&lt;insérer mois&gt;</t>
  </si>
  <si>
    <t>Quantité matière consommée</t>
  </si>
  <si>
    <t>Consommation théorique</t>
  </si>
  <si>
    <t>Surconsommation</t>
  </si>
  <si>
    <t>Coût surconsommation</t>
  </si>
  <si>
    <t>Coût surconsommation :</t>
  </si>
  <si>
    <t>Franchise : &lt;insérer le nom&gt;</t>
  </si>
  <si>
    <t>Consommation réelle</t>
  </si>
  <si>
    <t>Frais de gestion (mensualisés)</t>
  </si>
  <si>
    <t>Coût mensuel</t>
  </si>
  <si>
    <t>Nombre de palettes</t>
  </si>
  <si>
    <t>Coûts matières</t>
  </si>
  <si>
    <t>Coût Terre</t>
  </si>
  <si>
    <t>Coût Ciment</t>
  </si>
  <si>
    <t>Coût Palettes</t>
  </si>
  <si>
    <t>Coût Bande de cerclage</t>
  </si>
  <si>
    <t>Total coût matière</t>
  </si>
  <si>
    <t>Valeur Surconsommation/Saving</t>
  </si>
  <si>
    <t>Coût matière réel / bloc</t>
  </si>
  <si>
    <t>Frais de gestion imputés</t>
  </si>
  <si>
    <t>Coût Cible/Bloc</t>
  </si>
  <si>
    <t>Coût réel/Bloc</t>
  </si>
  <si>
    <t>Variation Marge</t>
  </si>
  <si>
    <t>Variation du coût</t>
  </si>
  <si>
    <t>Quantité Terre (kg)</t>
  </si>
  <si>
    <t>Quantité Ciment (kg)</t>
  </si>
  <si>
    <t>Nombre de palette</t>
  </si>
  <si>
    <t>Coût Cible total / Bloc</t>
  </si>
  <si>
    <t>Total</t>
  </si>
  <si>
    <t>Total Surconsommation/Saving</t>
  </si>
  <si>
    <t>Coût matière moyen / bloc</t>
  </si>
  <si>
    <t>Frais de gestion par mois</t>
  </si>
  <si>
    <t>Coût réel moyen / Bloc</t>
  </si>
  <si>
    <t>Coût cible moyen / Bloc</t>
  </si>
  <si>
    <t>Marge moyenne / Bloc</t>
  </si>
  <si>
    <t>Chiffre d'affaire</t>
  </si>
  <si>
    <t>Autres consommations</t>
  </si>
  <si>
    <t>Matières principales</t>
  </si>
  <si>
    <t>Quantité consommée</t>
  </si>
  <si>
    <t>Prix unitaire</t>
  </si>
  <si>
    <t>Coût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</si>
</sst>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TND]"/>
    <numFmt numFmtId="165" formatCode="#,##0\ [$TND]"/>
  </numFmts>
  <fonts count="36" x14ac:knownFonts="1">
    <font>
      <sz val="11"/>
      <color theme="1"/>
      <name val="Calibri"/>
      <family val="2"/>
      <scheme val="minor"/>
    </font>
    <font>
      <sz val="8"/>
      <color theme="1"/>
      <name val="Calibri"/>
      <family val="2"/>
      <scheme val="minor"/>
    </font>
    <font>
      <sz val="8"/>
      <color theme="1" tint="0.34998626667073579"/>
      <name val="Calibri"/>
      <family val="2"/>
      <scheme val="minor"/>
    </font>
    <font>
      <b/>
      <sz val="10"/>
      <color theme="1" tint="0.34998626667073579"/>
      <name val="Calibri"/>
      <family val="2"/>
      <scheme val="minor"/>
    </font>
    <font>
      <b/>
      <sz val="8"/>
      <color theme="1" tint="0.24994659260841701"/>
      <name val="Calibri"/>
      <family val="2"/>
      <scheme val="minor"/>
    </font>
    <font>
      <sz val="10"/>
      <color theme="1" tint="0.34998626667073579"/>
      <name val="Calibri"/>
      <family val="2"/>
      <scheme val="minor"/>
    </font>
    <font>
      <sz val="8"/>
      <color theme="8" tint="-0.24994659260841701"/>
      <name val="Calibri"/>
      <family val="2"/>
      <scheme val="minor"/>
    </font>
    <font>
      <sz val="16"/>
      <color theme="5"/>
      <name val="Cambria"/>
      <family val="1"/>
      <scheme val="major"/>
    </font>
    <font>
      <sz val="16"/>
      <color theme="2" tint="-0.24994659260841701"/>
      <name val="Cambria"/>
      <family val="1"/>
      <scheme val="major"/>
    </font>
    <font>
      <b/>
      <sz val="20"/>
      <name val="Arial"/>
      <family val="2"/>
    </font>
    <font>
      <sz val="10"/>
      <name val="Arial"/>
      <family val="2"/>
    </font>
    <font>
      <sz val="11"/>
      <name val="Arial"/>
      <family val="2"/>
    </font>
    <font>
      <b/>
      <sz val="12"/>
      <name val="Arial"/>
      <family val="2"/>
    </font>
    <font>
      <b/>
      <sz val="36"/>
      <color theme="3" tint="-0.499984740745262"/>
      <name val="Arial"/>
      <family val="2"/>
    </font>
    <font>
      <sz val="8"/>
      <color theme="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4"/>
      <color rgb="FF4C483D"/>
      <name val="Calibri"/>
      <family val="2"/>
    </font>
    <font>
      <b/>
      <sz val="22"/>
      <color rgb="FFFFFFFF"/>
      <name val="Calibri"/>
      <family val="2"/>
    </font>
    <font>
      <b/>
      <sz val="14"/>
      <color rgb="FF960032"/>
      <name val="Calibri"/>
      <family val="2"/>
    </font>
    <font>
      <b/>
      <sz val="14"/>
      <color rgb="FF595959"/>
      <name val="Calibri"/>
      <family val="2"/>
    </font>
    <font>
      <sz val="14"/>
      <color rgb="FF595959"/>
      <name val="Calibri"/>
      <family val="2"/>
    </font>
    <font>
      <b/>
      <i/>
      <sz val="14"/>
      <color rgb="FF595959"/>
      <name val="Calibri"/>
      <family val="2"/>
    </font>
    <font>
      <b/>
      <sz val="14"/>
      <color rgb="FF404040"/>
      <name val="Calibri"/>
      <family val="2"/>
    </font>
    <font>
      <b/>
      <sz val="11"/>
      <color rgb="FFFFFFFF"/>
      <name val="Calibri"/>
      <family val="2"/>
    </font>
    <font>
      <sz val="10"/>
      <color rgb="FF4C483D"/>
      <name val="Calibri"/>
      <family val="2"/>
    </font>
    <font>
      <sz val="10"/>
      <color rgb="FF0000FF"/>
      <name val="Franklin Gothic Book"/>
      <family val="2"/>
    </font>
    <font>
      <b/>
      <sz val="9"/>
      <color rgb="FFFFFFFF"/>
      <name val="Calibri"/>
      <family val="2"/>
    </font>
    <font>
      <sz val="9"/>
      <color rgb="FF4C483D"/>
      <name val="Calibri"/>
      <family val="2"/>
    </font>
    <font>
      <sz val="11"/>
      <color rgb="FF4C483D"/>
      <name val="Calibri"/>
      <family val="2"/>
    </font>
    <font>
      <b/>
      <sz val="24"/>
      <color rgb="FF700025"/>
      <name val="Arial"/>
      <family val="2"/>
    </font>
    <font>
      <b/>
      <sz val="9"/>
      <color theme="0"/>
      <name val="Calibri"/>
      <family val="2"/>
    </font>
    <font>
      <sz val="9"/>
      <color theme="0"/>
      <name val="Calibri"/>
      <family val="2"/>
    </font>
    <font>
      <b/>
      <sz val="8"/>
      <color rgb="FFFFFFFF"/>
      <name val="Calibri"/>
      <family val="2"/>
    </font>
    <font>
      <b/>
      <sz val="26"/>
      <color rgb="FF700025"/>
      <name val="Arial"/>
      <family val="2"/>
    </font>
  </fonts>
  <fills count="22">
    <fill>
      <patternFill patternType="none"/>
    </fill>
    <fill>
      <patternFill patternType="gray125"/>
    </fill>
    <fill>
      <patternFill patternType="solid">
        <fgColor theme="0"/>
      </patternFill>
    </fill>
    <fill>
      <patternFill patternType="solid">
        <fgColor theme="2"/>
        <bgColor theme="2"/>
      </patternFill>
    </fill>
    <fill>
      <patternFill patternType="solid">
        <fgColor theme="0"/>
        <bgColor theme="0"/>
      </patternFill>
    </fill>
    <fill>
      <patternFill patternType="darkUp">
        <fgColor theme="8"/>
        <bgColor theme="8" tint="0.39988402966399123"/>
      </patternFill>
    </fill>
    <fill>
      <patternFill patternType="darkUp">
        <fgColor theme="2" tint="0.59996337778862885"/>
        <bgColor theme="2" tint="0.39991454817346722"/>
      </patternFill>
    </fill>
    <fill>
      <patternFill patternType="solid">
        <fgColor rgb="FFFFFFFF"/>
        <bgColor rgb="FF000000"/>
      </patternFill>
    </fill>
    <fill>
      <patternFill patternType="solid">
        <fgColor theme="1" tint="0.499984740745262"/>
        <bgColor theme="2" tint="0.59996337778862885"/>
      </patternFill>
    </fill>
    <fill>
      <patternFill patternType="solid">
        <fgColor theme="0"/>
        <bgColor theme="2" tint="0.59996337778862885"/>
      </patternFill>
    </fill>
    <fill>
      <patternFill patternType="darkUp">
        <fgColor theme="2" tint="0.59996337778862885"/>
        <bgColor theme="0"/>
      </patternFill>
    </fill>
    <fill>
      <patternFill patternType="solid">
        <fgColor indexed="23"/>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808080"/>
        <bgColor rgb="FF000000"/>
      </patternFill>
    </fill>
    <fill>
      <patternFill patternType="solid">
        <fgColor theme="9"/>
        <bgColor rgb="FF000000"/>
      </patternFill>
    </fill>
    <fill>
      <patternFill patternType="solid">
        <fgColor rgb="FFF7F1D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960032"/>
        <bgColor rgb="FF000000"/>
      </patternFill>
    </fill>
    <fill>
      <patternFill patternType="solid">
        <fgColor rgb="FF960032"/>
        <bgColor indexed="64"/>
      </patternFill>
    </fill>
    <fill>
      <patternFill patternType="solid">
        <fgColor rgb="FFFFFF66"/>
        <bgColor indexed="64"/>
      </patternFill>
    </fill>
  </fills>
  <borders count="13">
    <border>
      <left/>
      <right/>
      <top/>
      <bottom/>
      <diagonal/>
    </border>
    <border>
      <left/>
      <right/>
      <top style="medium">
        <color theme="8"/>
      </top>
      <bottom/>
      <diagonal/>
    </border>
    <border>
      <left/>
      <right/>
      <top/>
      <bottom style="thin">
        <color theme="8" tint="0.39994506668294322"/>
      </bottom>
      <diagonal/>
    </border>
    <border>
      <left style="thin">
        <color theme="8"/>
      </left>
      <right style="thin">
        <color theme="8"/>
      </right>
      <top style="thin">
        <color theme="8"/>
      </top>
      <bottom style="thin">
        <color theme="8"/>
      </bottom>
      <diagonal/>
    </border>
    <border>
      <left/>
      <right/>
      <top/>
      <bottom style="thin">
        <color theme="8"/>
      </bottom>
      <diagonal/>
    </border>
    <border>
      <left/>
      <right/>
      <top/>
      <bottom style="medium">
        <color theme="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indexed="64"/>
      </top>
      <bottom style="thin">
        <color indexed="64"/>
      </bottom>
      <diagonal/>
    </border>
    <border>
      <left style="double">
        <color theme="4" tint="0.59996337778862885"/>
      </left>
      <right style="double">
        <color theme="4" tint="0.59996337778862885"/>
      </right>
      <top style="double">
        <color theme="4" tint="0.59996337778862885"/>
      </top>
      <bottom style="double">
        <color theme="4" tint="0.59996337778862885"/>
      </bottom>
      <diagonal/>
    </border>
    <border>
      <left/>
      <right/>
      <top/>
      <bottom style="thin">
        <color rgb="FFFF5959"/>
      </bottom>
      <diagonal/>
    </border>
    <border>
      <left/>
      <right/>
      <top style="thin">
        <color rgb="FFBCB8AB"/>
      </top>
      <bottom style="thin">
        <color rgb="FFBCB8AB"/>
      </bottom>
      <diagonal/>
    </border>
  </borders>
  <cellStyleXfs count="20">
    <xf numFmtId="0" fontId="0" fillId="0" borderId="0"/>
    <xf numFmtId="0" fontId="1" fillId="2" borderId="0" applyNumberFormat="0" applyFont="0" applyBorder="0" applyAlignment="0" applyProtection="0"/>
    <xf numFmtId="0" fontId="2" fillId="3" borderId="1" applyNumberFormat="0" applyFont="0" applyFill="0" applyBorder="0" applyProtection="0">
      <alignment horizontal="center" vertical="center"/>
    </xf>
    <xf numFmtId="14" fontId="2" fillId="2" borderId="0" applyFont="0" applyFill="0" applyBorder="0" applyAlignment="0" applyProtection="0">
      <alignment horizontal="left" vertical="center"/>
    </xf>
    <xf numFmtId="0" fontId="2" fillId="4" borderId="2" applyProtection="0">
      <alignment horizontal="left" vertical="center"/>
    </xf>
    <xf numFmtId="0" fontId="3" fillId="4" borderId="0" applyNumberFormat="0" applyFill="0" applyBorder="0" applyProtection="0">
      <alignment horizontal="center" vertical="center"/>
    </xf>
    <xf numFmtId="0" fontId="4" fillId="5" borderId="0" applyNumberFormat="0" applyFill="0" applyBorder="0" applyAlignment="0" applyProtection="0">
      <alignment horizontal="left" vertical="center"/>
    </xf>
    <xf numFmtId="0" fontId="2" fillId="2" borderId="3" applyNumberFormat="0" applyFont="0" applyFill="0" applyAlignment="0" applyProtection="0">
      <alignment horizontal="right" vertical="center" indent="1"/>
    </xf>
    <xf numFmtId="0" fontId="2" fillId="6" borderId="0">
      <alignment horizontal="left" vertical="center"/>
    </xf>
    <xf numFmtId="0" fontId="5" fillId="4" borderId="2" applyProtection="0">
      <alignment horizontal="center" vertical="center"/>
    </xf>
    <xf numFmtId="0" fontId="6" fillId="2" borderId="4" applyNumberFormat="0" applyFill="0" applyBorder="0" applyAlignment="0" applyProtection="0">
      <alignment horizontal="left" vertical="center" indent="1"/>
    </xf>
    <xf numFmtId="0" fontId="7" fillId="4" borderId="5" applyNumberFormat="0" applyAlignment="0" applyProtection="0"/>
    <xf numFmtId="0" fontId="8" fillId="0" borderId="5" applyNumberFormat="0" applyFill="0" applyAlignment="0" applyProtection="0"/>
    <xf numFmtId="0" fontId="10" fillId="0" borderId="0"/>
    <xf numFmtId="0" fontId="10" fillId="0" borderId="0"/>
    <xf numFmtId="0" fontId="14" fillId="0" borderId="0" applyNumberFormat="0" applyFont="0" applyFill="0" applyBorder="0" applyProtection="0">
      <alignment horizontal="left" vertical="center" indent="1"/>
    </xf>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27" fillId="16" borderId="10" applyNumberFormat="0">
      <alignment vertical="center"/>
      <protection locked="0" hidden="1"/>
    </xf>
  </cellStyleXfs>
  <cellXfs count="77">
    <xf numFmtId="0" fontId="0" fillId="0" borderId="0" xfId="0"/>
    <xf numFmtId="0" fontId="9" fillId="7" borderId="0" xfId="8" applyFont="1" applyFill="1" applyBorder="1" applyAlignment="1">
      <alignment horizontal="center"/>
    </xf>
    <xf numFmtId="0" fontId="2" fillId="9" borderId="0" xfId="8" applyFill="1">
      <alignment horizontal="left" vertical="center"/>
    </xf>
    <xf numFmtId="0" fontId="2" fillId="11" borderId="0" xfId="8" applyFill="1" applyBorder="1" applyAlignment="1"/>
    <xf numFmtId="0" fontId="2" fillId="8" borderId="0" xfId="8" applyFill="1" applyBorder="1">
      <alignment horizontal="left" vertical="center"/>
    </xf>
    <xf numFmtId="0" fontId="2" fillId="9" borderId="0" xfId="8" applyFill="1" applyBorder="1">
      <alignment horizontal="left" vertical="center"/>
    </xf>
    <xf numFmtId="0" fontId="11" fillId="10" borderId="0" xfId="8" applyFont="1" applyFill="1" applyAlignment="1">
      <alignment vertical="center"/>
    </xf>
    <xf numFmtId="0" fontId="12" fillId="7" borderId="0" xfId="8" applyFont="1" applyFill="1" applyBorder="1" applyAlignment="1">
      <alignment vertical="top" wrapText="1"/>
    </xf>
    <xf numFmtId="0" fontId="24" fillId="0" borderId="0" xfId="16" applyFont="1" applyFill="1" applyBorder="1" applyAlignment="1">
      <alignment vertical="center"/>
    </xf>
    <xf numFmtId="0" fontId="30" fillId="0" borderId="0" xfId="15" applyFont="1" applyFill="1" applyAlignment="1" applyProtection="1">
      <alignment horizontal="left" vertical="center" wrapText="1"/>
      <protection locked="0"/>
    </xf>
    <xf numFmtId="14" fontId="30" fillId="0" borderId="0" xfId="15" applyNumberFormat="1" applyFont="1" applyFill="1" applyAlignment="1" applyProtection="1">
      <alignment horizontal="left" vertical="center" wrapText="1"/>
      <protection locked="0"/>
    </xf>
    <xf numFmtId="164" fontId="30" fillId="0" borderId="0" xfId="15" applyNumberFormat="1" applyFont="1" applyFill="1" applyAlignment="1" applyProtection="1">
      <alignment horizontal="left" vertical="center" wrapText="1"/>
      <protection locked="0"/>
    </xf>
    <xf numFmtId="0" fontId="30" fillId="21" borderId="0" xfId="15" applyFont="1" applyFill="1" applyAlignment="1" applyProtection="1">
      <alignment horizontal="center" vertical="center" wrapText="1"/>
      <protection locked="0"/>
    </xf>
    <xf numFmtId="164" fontId="30" fillId="21" borderId="0" xfId="15" applyNumberFormat="1" applyFont="1" applyFill="1" applyAlignment="1" applyProtection="1">
      <alignment horizontal="center" vertical="center" wrapText="1"/>
      <protection locked="0"/>
    </xf>
    <xf numFmtId="164" fontId="30" fillId="18" borderId="0" xfId="15" applyNumberFormat="1" applyFont="1" applyFill="1" applyAlignment="1" applyProtection="1">
      <alignment horizontal="center" vertical="center" wrapText="1"/>
      <protection locked="0"/>
    </xf>
    <xf numFmtId="14" fontId="26" fillId="21" borderId="0" xfId="15" applyNumberFormat="1" applyFont="1" applyFill="1" applyAlignment="1" applyProtection="1">
      <alignment horizontal="left" vertical="center" wrapText="1"/>
      <protection locked="0"/>
    </xf>
    <xf numFmtId="0" fontId="26" fillId="21" borderId="0" xfId="15" applyFont="1" applyFill="1" applyAlignment="1" applyProtection="1">
      <alignment horizontal="center" vertical="center" wrapText="1"/>
      <protection locked="0"/>
    </xf>
    <xf numFmtId="2" fontId="26" fillId="21" borderId="0" xfId="15" applyNumberFormat="1" applyFont="1" applyFill="1" applyAlignment="1" applyProtection="1">
      <alignment horizontal="center" vertical="center" wrapText="1"/>
      <protection locked="0"/>
    </xf>
    <xf numFmtId="0" fontId="26" fillId="21" borderId="0" xfId="15" applyFont="1" applyFill="1" applyAlignment="1" applyProtection="1">
      <alignment horizontal="left" vertical="center" wrapText="1"/>
      <protection locked="0"/>
    </xf>
    <xf numFmtId="2" fontId="26" fillId="21" borderId="0" xfId="15" applyNumberFormat="1" applyFont="1" applyFill="1" applyAlignment="1" applyProtection="1">
      <alignment horizontal="left" vertical="center" wrapText="1"/>
      <protection locked="0"/>
    </xf>
    <xf numFmtId="164" fontId="26" fillId="21" borderId="0" xfId="15" applyNumberFormat="1" applyFont="1" applyFill="1" applyAlignment="1" applyProtection="1">
      <alignment horizontal="center" vertical="center" wrapText="1"/>
      <protection locked="0"/>
    </xf>
    <xf numFmtId="0" fontId="0" fillId="0" borderId="0" xfId="0" applyProtection="1">
      <protection hidden="1"/>
    </xf>
    <xf numFmtId="0" fontId="20" fillId="13" borderId="0" xfId="17" applyFont="1" applyFill="1" applyBorder="1" applyAlignment="1" applyProtection="1">
      <alignment horizontal="left" vertical="center"/>
      <protection hidden="1"/>
    </xf>
    <xf numFmtId="0" fontId="21" fillId="13" borderId="0" xfId="18" applyFont="1" applyFill="1" applyBorder="1" applyAlignment="1" applyProtection="1">
      <alignment horizontal="left" vertical="center"/>
      <protection hidden="1"/>
    </xf>
    <xf numFmtId="0" fontId="22" fillId="13" borderId="0" xfId="1" applyFont="1" applyFill="1" applyBorder="1" applyAlignment="1" applyProtection="1">
      <alignment horizontal="center" vertical="center"/>
      <protection hidden="1"/>
    </xf>
    <xf numFmtId="0" fontId="28" fillId="14" borderId="11" xfId="0" applyFont="1" applyFill="1" applyBorder="1" applyAlignment="1" applyProtection="1">
      <alignment horizontal="left" vertical="center" wrapText="1"/>
      <protection hidden="1"/>
    </xf>
    <xf numFmtId="0" fontId="34" fillId="14" borderId="11" xfId="0" applyFont="1" applyFill="1" applyBorder="1" applyAlignment="1" applyProtection="1">
      <alignment horizontal="left" vertical="center" wrapText="1"/>
      <protection hidden="1"/>
    </xf>
    <xf numFmtId="0" fontId="32" fillId="19" borderId="11" xfId="0" applyFont="1" applyFill="1" applyBorder="1" applyAlignment="1" applyProtection="1">
      <alignment horizontal="left" vertical="center" wrapText="1"/>
      <protection hidden="1"/>
    </xf>
    <xf numFmtId="1" fontId="29" fillId="18" borderId="12" xfId="15" applyNumberFormat="1" applyFont="1" applyFill="1" applyBorder="1" applyAlignment="1" applyProtection="1">
      <alignment horizontal="center" vertical="center" wrapText="1"/>
      <protection hidden="1"/>
    </xf>
    <xf numFmtId="165" fontId="29" fillId="18" borderId="12" xfId="15" applyNumberFormat="1" applyFont="1" applyFill="1" applyBorder="1" applyAlignment="1" applyProtection="1">
      <alignment horizontal="center" vertical="center" wrapText="1"/>
      <protection hidden="1"/>
    </xf>
    <xf numFmtId="164" fontId="29" fillId="18" borderId="12" xfId="15" applyNumberFormat="1" applyFont="1" applyFill="1" applyBorder="1" applyAlignment="1" applyProtection="1">
      <alignment horizontal="center" vertical="center" wrapText="1"/>
      <protection hidden="1"/>
    </xf>
    <xf numFmtId="164" fontId="33" fillId="20" borderId="12" xfId="15" applyNumberFormat="1" applyFont="1" applyFill="1" applyBorder="1" applyAlignment="1" applyProtection="1">
      <alignment horizontal="center" vertical="center" wrapText="1"/>
      <protection hidden="1"/>
    </xf>
    <xf numFmtId="9" fontId="29" fillId="18" borderId="12" xfId="15" applyNumberFormat="1" applyFont="1" applyFill="1" applyBorder="1" applyAlignment="1" applyProtection="1">
      <alignment horizontal="center" vertical="center" wrapText="1"/>
      <protection hidden="1"/>
    </xf>
    <xf numFmtId="0" fontId="24" fillId="0" borderId="0" xfId="16" applyFont="1" applyFill="1" applyBorder="1" applyAlignment="1" applyProtection="1">
      <alignment vertical="center"/>
      <protection hidden="1"/>
    </xf>
    <xf numFmtId="0" fontId="28" fillId="14" borderId="0" xfId="0" applyFont="1" applyFill="1" applyBorder="1" applyAlignment="1" applyProtection="1">
      <alignment horizontal="left" vertical="center" wrapText="1"/>
      <protection hidden="1"/>
    </xf>
    <xf numFmtId="0" fontId="28" fillId="14" borderId="0" xfId="0" applyFont="1" applyFill="1" applyAlignment="1" applyProtection="1">
      <alignment horizontal="left" vertical="center" wrapText="1"/>
      <protection hidden="1"/>
    </xf>
    <xf numFmtId="0" fontId="34" fillId="14" borderId="0" xfId="0" applyFont="1" applyFill="1" applyAlignment="1" applyProtection="1">
      <alignment horizontal="left" vertical="center" wrapText="1"/>
      <protection hidden="1"/>
    </xf>
    <xf numFmtId="0" fontId="32" fillId="19" borderId="0" xfId="0" applyFont="1" applyFill="1" applyAlignment="1" applyProtection="1">
      <alignment horizontal="left" vertical="center" wrapText="1"/>
      <protection hidden="1"/>
    </xf>
    <xf numFmtId="14" fontId="29" fillId="18" borderId="0" xfId="15" applyNumberFormat="1" applyFont="1" applyFill="1" applyAlignment="1" applyProtection="1">
      <alignment horizontal="left" vertical="center" wrapText="1"/>
      <protection hidden="1"/>
    </xf>
    <xf numFmtId="0" fontId="29" fillId="18" borderId="0" xfId="15" applyFont="1" applyFill="1" applyAlignment="1" applyProtection="1">
      <alignment horizontal="center" vertical="center" wrapText="1"/>
      <protection hidden="1"/>
    </xf>
    <xf numFmtId="2" fontId="29" fillId="18" borderId="0" xfId="15" applyNumberFormat="1" applyFont="1" applyFill="1" applyAlignment="1" applyProtection="1">
      <alignment horizontal="center" vertical="center" wrapText="1"/>
      <protection hidden="1"/>
    </xf>
    <xf numFmtId="1" fontId="29" fillId="18" borderId="0" xfId="15" applyNumberFormat="1" applyFont="1" applyFill="1" applyAlignment="1" applyProtection="1">
      <alignment horizontal="center" vertical="center" wrapText="1"/>
      <protection hidden="1"/>
    </xf>
    <xf numFmtId="164" fontId="29" fillId="18" borderId="0" xfId="15" applyNumberFormat="1" applyFont="1" applyFill="1" applyAlignment="1" applyProtection="1">
      <alignment horizontal="center" vertical="center" wrapText="1"/>
      <protection hidden="1"/>
    </xf>
    <xf numFmtId="164" fontId="29" fillId="18" borderId="0" xfId="0" applyNumberFormat="1" applyFont="1" applyFill="1" applyAlignment="1" applyProtection="1">
      <alignment horizontal="center" vertical="center" wrapText="1"/>
      <protection hidden="1"/>
    </xf>
    <xf numFmtId="164" fontId="33" fillId="20" borderId="0" xfId="15" applyNumberFormat="1" applyFont="1" applyFill="1" applyAlignment="1" applyProtection="1">
      <alignment horizontal="center" vertical="center" wrapText="1"/>
      <protection hidden="1"/>
    </xf>
    <xf numFmtId="10" fontId="29" fillId="18" borderId="0" xfId="15" applyNumberFormat="1" applyFont="1" applyFill="1" applyAlignment="1" applyProtection="1">
      <alignment horizontal="center" vertical="center" wrapText="1"/>
      <protection hidden="1"/>
    </xf>
    <xf numFmtId="0" fontId="18" fillId="0" borderId="0" xfId="0" applyFont="1" applyFill="1" applyBorder="1" applyAlignment="1" applyProtection="1">
      <alignment vertical="center"/>
      <protection hidden="1"/>
    </xf>
    <xf numFmtId="0" fontId="20" fillId="13" borderId="9" xfId="17" applyFont="1" applyFill="1" applyBorder="1" applyAlignment="1" applyProtection="1">
      <alignment horizontal="left" vertical="center"/>
      <protection hidden="1"/>
    </xf>
    <xf numFmtId="0" fontId="21" fillId="13" borderId="9" xfId="18" applyNumberFormat="1" applyFont="1" applyFill="1" applyBorder="1" applyAlignment="1" applyProtection="1">
      <alignment horizontal="left" vertical="center"/>
      <protection hidden="1"/>
    </xf>
    <xf numFmtId="14" fontId="21" fillId="13" borderId="9" xfId="18" applyNumberFormat="1" applyFont="1" applyFill="1" applyBorder="1" applyAlignment="1" applyProtection="1">
      <alignment horizontal="left" vertical="center"/>
      <protection hidden="1"/>
    </xf>
    <xf numFmtId="0" fontId="25" fillId="14" borderId="0" xfId="0" applyFont="1" applyFill="1" applyBorder="1" applyAlignment="1" applyProtection="1">
      <alignment horizontal="left" vertical="center" wrapText="1"/>
      <protection hidden="1"/>
    </xf>
    <xf numFmtId="14" fontId="30" fillId="18" borderId="0" xfId="15" applyNumberFormat="1" applyFont="1" applyFill="1" applyAlignment="1" applyProtection="1">
      <alignment horizontal="left" vertical="center" wrapText="1"/>
      <protection hidden="1"/>
    </xf>
    <xf numFmtId="0" fontId="30" fillId="18" borderId="0" xfId="15" applyFont="1" applyFill="1" applyAlignment="1" applyProtection="1">
      <alignment horizontal="center" vertical="center" wrapText="1"/>
      <protection hidden="1"/>
    </xf>
    <xf numFmtId="165" fontId="21" fillId="13" borderId="9" xfId="18" applyNumberFormat="1" applyFont="1" applyFill="1" applyBorder="1" applyAlignment="1" applyProtection="1">
      <alignment horizontal="left" vertical="center"/>
      <protection hidden="1"/>
    </xf>
    <xf numFmtId="0" fontId="25" fillId="14" borderId="0" xfId="0" applyFont="1" applyFill="1" applyAlignment="1" applyProtection="1">
      <alignment horizontal="left" vertical="center" wrapText="1"/>
      <protection hidden="1"/>
    </xf>
    <xf numFmtId="1" fontId="30" fillId="18" borderId="0" xfId="15" applyNumberFormat="1" applyFont="1" applyFill="1" applyAlignment="1" applyProtection="1">
      <alignment horizontal="center" vertical="center" wrapText="1"/>
      <protection hidden="1"/>
    </xf>
    <xf numFmtId="1" fontId="30" fillId="18" borderId="0" xfId="0" applyNumberFormat="1" applyFont="1" applyFill="1" applyAlignment="1" applyProtection="1">
      <alignment horizontal="center" vertical="center" wrapText="1"/>
      <protection hidden="1"/>
    </xf>
    <xf numFmtId="164" fontId="30" fillId="18" borderId="0" xfId="0" applyNumberFormat="1" applyFont="1" applyFill="1" applyAlignment="1" applyProtection="1">
      <alignment horizontal="center" vertical="center" wrapText="1"/>
      <protection hidden="1"/>
    </xf>
    <xf numFmtId="14" fontId="21" fillId="13" borderId="0" xfId="18" applyNumberFormat="1" applyFont="1" applyFill="1" applyBorder="1" applyAlignment="1" applyProtection="1">
      <alignment horizontal="left" vertical="center"/>
      <protection hidden="1"/>
    </xf>
    <xf numFmtId="164" fontId="26" fillId="18" borderId="0" xfId="15" applyNumberFormat="1" applyFont="1" applyFill="1" applyAlignment="1" applyProtection="1">
      <alignment horizontal="center" vertical="center" wrapText="1"/>
      <protection hidden="1"/>
    </xf>
    <xf numFmtId="164" fontId="26" fillId="18" borderId="0" xfId="0" applyNumberFormat="1" applyFont="1" applyFill="1" applyAlignment="1" applyProtection="1">
      <alignment horizontal="center" vertical="center" wrapText="1"/>
      <protection hidden="1"/>
    </xf>
    <xf numFmtId="164" fontId="26" fillId="21" borderId="0" xfId="15" applyNumberFormat="1" applyFont="1" applyFill="1" applyAlignment="1" applyProtection="1">
      <alignment horizontal="left" vertical="center" wrapText="1"/>
      <protection locked="0"/>
    </xf>
    <xf numFmtId="0" fontId="22" fillId="13" borderId="0" xfId="1" applyFont="1" applyFill="1" applyBorder="1" applyAlignment="1" applyProtection="1">
      <alignment vertical="center"/>
      <protection hidden="1"/>
    </xf>
    <xf numFmtId="0" fontId="23" fillId="13" borderId="0" xfId="1" applyFont="1" applyFill="1" applyBorder="1" applyAlignment="1" applyProtection="1">
      <alignment vertical="center"/>
      <protection hidden="1"/>
    </xf>
    <xf numFmtId="0" fontId="20" fillId="0" borderId="0" xfId="16" applyFont="1" applyFill="1" applyBorder="1" applyAlignment="1" applyProtection="1">
      <alignment vertical="center"/>
      <protection hidden="1"/>
    </xf>
    <xf numFmtId="164" fontId="0" fillId="0" borderId="0" xfId="0" applyNumberFormat="1" applyProtection="1">
      <protection hidden="1"/>
    </xf>
    <xf numFmtId="14" fontId="30" fillId="21" borderId="0" xfId="15" applyNumberFormat="1" applyFont="1" applyFill="1" applyAlignment="1" applyProtection="1">
      <alignment horizontal="left" vertical="center" wrapText="1"/>
      <protection locked="0"/>
    </xf>
    <xf numFmtId="1" fontId="30" fillId="21" borderId="0" xfId="15" applyNumberFormat="1" applyFont="1" applyFill="1" applyAlignment="1" applyProtection="1">
      <alignment horizontal="center" vertical="center" wrapText="1"/>
      <protection locked="0"/>
    </xf>
    <xf numFmtId="1" fontId="30" fillId="21" borderId="0" xfId="0" applyNumberFormat="1" applyFont="1" applyFill="1" applyAlignment="1" applyProtection="1">
      <alignment horizontal="center" vertical="center" wrapText="1"/>
      <protection locked="0"/>
    </xf>
    <xf numFmtId="0" fontId="13" fillId="7" borderId="0" xfId="8" applyFont="1" applyFill="1" applyBorder="1" applyAlignment="1">
      <alignment horizontal="center" vertical="center" wrapText="1"/>
    </xf>
    <xf numFmtId="0" fontId="35" fillId="7" borderId="0" xfId="8" applyFont="1" applyFill="1" applyBorder="1" applyAlignment="1">
      <alignment horizontal="center" vertical="center" wrapText="1"/>
    </xf>
    <xf numFmtId="0" fontId="10" fillId="7" borderId="0" xfId="13" applyFont="1" applyFill="1" applyBorder="1" applyAlignment="1">
      <alignment horizontal="left" vertical="top" wrapText="1"/>
    </xf>
    <xf numFmtId="0" fontId="31" fillId="7" borderId="0" xfId="8" applyFont="1" applyFill="1" applyBorder="1" applyAlignment="1">
      <alignment horizontal="center" vertical="center" wrapText="1"/>
    </xf>
    <xf numFmtId="0" fontId="19" fillId="15" borderId="0" xfId="0" applyFont="1" applyFill="1" applyBorder="1" applyAlignment="1" applyProtection="1">
      <alignment horizontal="center" vertical="center"/>
      <protection hidden="1"/>
    </xf>
    <xf numFmtId="0" fontId="24" fillId="0" borderId="0" xfId="16" applyFont="1" applyFill="1" applyBorder="1" applyAlignment="1" applyProtection="1">
      <alignment horizontal="center" vertical="center"/>
      <protection hidden="1"/>
    </xf>
    <xf numFmtId="0" fontId="20" fillId="12" borderId="0" xfId="16" applyFont="1" applyFill="1" applyBorder="1" applyAlignment="1" applyProtection="1">
      <alignment horizontal="center" vertical="center"/>
      <protection hidden="1"/>
    </xf>
    <xf numFmtId="0" fontId="20" fillId="17" borderId="0" xfId="16" applyFont="1" applyFill="1" applyBorder="1" applyAlignment="1" applyProtection="1">
      <alignment horizontal="center" vertical="center"/>
      <protection hidden="1"/>
    </xf>
  </cellXfs>
  <cellStyles count="20">
    <cellStyle name="%" xfId="14"/>
    <cellStyle name="Canvas" xfId="1"/>
    <cellStyle name="Center" xfId="2"/>
    <cellStyle name="Date" xfId="3"/>
    <cellStyle name="Description" xfId="4"/>
    <cellStyle name="Entity" xfId="5"/>
    <cellStyle name="Input Cell" xfId="19"/>
    <cellStyle name="Key Bold" xfId="6"/>
    <cellStyle name="Legend Border" xfId="7"/>
    <cellStyle name="Normal" xfId="0" builtinId="0"/>
    <cellStyle name="Normal 2" xfId="8"/>
    <cellStyle name="Normal_POT004 Process and Enterprise Maturity Model (PEMM) v0.1" xfId="13"/>
    <cellStyle name="Step" xfId="9"/>
    <cellStyle name="Summary Values" xfId="10"/>
    <cellStyle name="Text" xfId="15"/>
    <cellStyle name="Titre 1" xfId="16" builtinId="16"/>
    <cellStyle name="Titre 2" xfId="17" builtinId="17"/>
    <cellStyle name="Titre 2 2" xfId="11"/>
    <cellStyle name="Titre 3" xfId="18" builtinId="18"/>
    <cellStyle name="Titre 3 2" xfId="12"/>
  </cellStyles>
  <dxfs count="106">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164" formatCode="#,##0.000\ [$TND]"/>
      <fill>
        <patternFill patternType="solid">
          <fgColor indexed="64"/>
          <bgColor rgb="FFFFFF66"/>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fill>
        <patternFill patternType="solid">
          <fgColor indexed="64"/>
          <bgColor rgb="FFFFFF66"/>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fill>
        <patternFill patternType="solid">
          <fgColor indexed="64"/>
          <bgColor rgb="FFFFFF66"/>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fill>
        <patternFill patternType="solid">
          <fgColor indexed="64"/>
          <bgColor rgb="FFFFFF66"/>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fill>
        <patternFill patternType="solid">
          <fgColor indexed="64"/>
          <bgColor rgb="FFFFFF66"/>
        </patternFill>
      </fill>
      <alignment horizontal="left" vertical="center" textRotation="0" wrapText="1" indent="0" justifyLastLine="0" shrinkToFit="0" readingOrder="0"/>
      <protection locked="0" hidden="0"/>
    </dxf>
    <dxf>
      <protection locked="1" hidden="1"/>
    </dxf>
    <dxf>
      <font>
        <b val="0"/>
        <i val="0"/>
        <strike val="0"/>
        <condense val="0"/>
        <extend val="0"/>
        <outline val="0"/>
        <shadow val="0"/>
        <u val="none"/>
        <vertAlign val="baseline"/>
        <sz val="12"/>
        <color rgb="FF4C483D"/>
        <name val="Calibri"/>
        <scheme val="none"/>
      </font>
      <fill>
        <patternFill patternType="none">
          <fgColor rgb="FF000000"/>
          <bgColor rgb="FFFFFFFF"/>
        </patternFill>
      </fill>
      <alignment horizontal="general" vertical="center" textRotation="0" wrapText="1" indent="0" justifyLastLine="0" shrinkToFit="0" readingOrder="0"/>
      <protection locked="1" hidden="1"/>
    </dxf>
    <dxf>
      <font>
        <b/>
        <i val="0"/>
        <strike val="0"/>
        <outline val="0"/>
        <shadow val="0"/>
        <u val="none"/>
        <vertAlign val="baseline"/>
        <sz val="11"/>
        <color rgb="FFFFFFFF"/>
        <name val="Calibri"/>
        <scheme val="none"/>
      </font>
      <fill>
        <patternFill patternType="solid">
          <fgColor rgb="FF000000"/>
          <bgColor rgb="FF808080"/>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0"/>
        <color rgb="FF4C483D"/>
        <name val="Calibri"/>
        <scheme val="none"/>
      </font>
      <numFmt numFmtId="164" formatCode="#,##0.000\ [$TND]"/>
      <fill>
        <patternFill patternType="solid">
          <fgColor indexed="64"/>
          <bgColor rgb="FFFFFF66"/>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164" formatCode="#,##0.000\ [$TND]"/>
      <fill>
        <patternFill patternType="solid">
          <fgColor indexed="64"/>
          <bgColor theme="0" tint="-4.9989318521683403E-2"/>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164" formatCode="#,##0.000\ [$TND]"/>
      <fill>
        <patternFill patternType="solid">
          <fgColor indexed="64"/>
          <bgColor theme="0" tint="-4.9989318521683403E-2"/>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2" formatCode="0.00"/>
      <fill>
        <patternFill patternType="none">
          <fgColor indexed="64"/>
          <bgColor rgb="FFFFFF66"/>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2" formatCode="0.00"/>
      <fill>
        <patternFill patternType="none">
          <fgColor indexed="64"/>
          <bgColor rgb="FFFFFF66"/>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13" formatCode="0%"/>
      <fill>
        <patternFill patternType="none">
          <fgColor indexed="64"/>
          <bgColor rgb="FFFFFF66"/>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numFmt numFmtId="13" formatCode="0%"/>
      <fill>
        <patternFill patternType="none">
          <fgColor indexed="64"/>
          <bgColor rgb="FFFFFF66"/>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4C483D"/>
        <name val="Calibri"/>
        <scheme val="none"/>
      </font>
      <numFmt numFmtId="164" formatCode="#,##0.000\ [$TND]"/>
      <fill>
        <patternFill patternType="solid">
          <fgColor indexed="64"/>
          <bgColor rgb="FFFFFF66"/>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fill>
        <patternFill patternType="none">
          <fgColor indexed="64"/>
          <bgColor rgb="FFFFFF66"/>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C483D"/>
        <name val="Calibri"/>
        <scheme val="none"/>
      </font>
      <fill>
        <patternFill patternType="none">
          <fgColor indexed="64"/>
          <bgColor rgb="FFFFFF66"/>
        </patternFill>
      </fill>
      <alignment horizontal="left" vertical="center" textRotation="0" wrapText="1" indent="0" justifyLastLine="0" shrinkToFit="0" readingOrder="0"/>
      <protection locked="0" hidden="0"/>
    </dxf>
    <dxf>
      <protection locked="1" hidden="1"/>
    </dxf>
    <dxf>
      <font>
        <b val="0"/>
        <i val="0"/>
        <strike val="0"/>
        <condense val="0"/>
        <extend val="0"/>
        <outline val="0"/>
        <shadow val="0"/>
        <u val="none"/>
        <vertAlign val="baseline"/>
        <sz val="12"/>
        <color rgb="FF4C483D"/>
        <name val="Calibri"/>
        <scheme val="none"/>
      </font>
      <fill>
        <patternFill patternType="none">
          <fgColor rgb="FF000000"/>
          <bgColor rgb="FFFFFFFF"/>
        </patternFill>
      </fill>
      <alignment horizontal="general" vertical="center" textRotation="0" wrapText="1" indent="0" justifyLastLine="0" shrinkToFit="0" readingOrder="0"/>
      <protection locked="1" hidden="1"/>
    </dxf>
    <dxf>
      <font>
        <b/>
        <i val="0"/>
        <strike val="0"/>
        <outline val="0"/>
        <shadow val="0"/>
        <u val="none"/>
        <vertAlign val="baseline"/>
        <sz val="11"/>
        <color rgb="FFFFFFFF"/>
        <name val="Calibri"/>
        <scheme val="none"/>
      </font>
      <fill>
        <patternFill patternType="solid">
          <fgColor rgb="FF000000"/>
          <bgColor rgb="FF808080"/>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4" formatCode="0.00%"/>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theme="0"/>
        <name val="Calibri"/>
        <scheme val="none"/>
      </font>
      <fill>
        <patternFill patternType="solid">
          <fgColor indexed="64"/>
          <bgColor rgb="FF96003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2" formatCode="0.00"/>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 formatCode="0"/>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3" formatCode="0%"/>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numFmt numFmtId="13" formatCode="0%"/>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9"/>
        <color rgb="FF4C483D"/>
        <name val="Calibri"/>
        <scheme val="none"/>
      </font>
      <fill>
        <patternFill patternType="solid">
          <fgColor indexed="64"/>
          <bgColor theme="0" tint="-4.9989318521683403E-2"/>
        </patternFill>
      </fill>
      <alignment horizontal="left" vertical="center" textRotation="0" wrapText="1" indent="0" justifyLastLine="0" shrinkToFit="0" readingOrder="0"/>
      <protection locked="1" hidden="1"/>
    </dxf>
    <dxf>
      <protection locked="1" hidden="1"/>
    </dxf>
    <dxf>
      <font>
        <b val="0"/>
        <i val="0"/>
        <strike val="0"/>
        <condense val="0"/>
        <extend val="0"/>
        <outline val="0"/>
        <shadow val="0"/>
        <u val="none"/>
        <vertAlign val="baseline"/>
        <sz val="9"/>
        <color rgb="FF4C483D"/>
        <name val="Calibri"/>
        <scheme val="none"/>
      </font>
      <fill>
        <patternFill patternType="solid">
          <fgColor indexed="64"/>
          <bgColor theme="0" tint="-4.9989318521683403E-2"/>
        </patternFill>
      </fill>
      <alignment horizontal="general" vertical="center" textRotation="0" wrapText="1" indent="0" justifyLastLine="0" shrinkToFit="0" readingOrder="0"/>
      <protection locked="1" hidden="1"/>
    </dxf>
    <dxf>
      <font>
        <b/>
        <i val="0"/>
        <strike val="0"/>
        <outline val="0"/>
        <shadow val="0"/>
        <u val="none"/>
        <vertAlign val="baseline"/>
        <sz val="9"/>
        <color rgb="FFFFFFFF"/>
        <name val="Calibri"/>
        <scheme val="none"/>
      </font>
      <fill>
        <patternFill patternType="solid">
          <fgColor rgb="FF000000"/>
          <bgColor rgb="FF808080"/>
        </patternFill>
      </fill>
      <alignment horizontal="left" vertical="center" textRotation="0" wrapText="1" indent="0" justifyLastLine="0" shrinkToFit="0" readingOrder="0"/>
      <protection locked="1" hidden="1"/>
    </dxf>
    <dxf>
      <font>
        <color rgb="FF00B050"/>
      </font>
    </dxf>
    <dxf>
      <font>
        <color rgb="FFFF9109"/>
      </font>
    </dxf>
    <dxf>
      <font>
        <color rgb="FFFF0000"/>
      </font>
    </dxf>
    <dxf>
      <font>
        <color rgb="FF00B050"/>
      </font>
    </dxf>
    <dxf>
      <font>
        <color rgb="FFFF9109"/>
      </font>
    </dxf>
    <dxf>
      <font>
        <color rgb="FFFF0000"/>
      </font>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4C483D"/>
        <name val="Calibri"/>
        <scheme val="none"/>
      </font>
      <numFmt numFmtId="164" formatCode="#,##0.000\ [$TND]"/>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4C483D"/>
        <name val="Calibri"/>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4C483D"/>
        <name val="Calibri"/>
        <scheme val="none"/>
      </font>
      <fill>
        <patternFill patternType="none">
          <fgColor indexed="64"/>
          <bgColor indexed="65"/>
        </patternFill>
      </fill>
      <alignment horizontal="left" vertical="center" textRotation="0" wrapText="1" indent="0" justifyLastLine="0" shrinkToFit="0" readingOrder="0"/>
      <protection locked="0" hidden="0"/>
    </dxf>
    <dxf>
      <protection locked="1" hidden="1"/>
    </dxf>
    <dxf>
      <font>
        <b val="0"/>
        <i val="0"/>
        <strike val="0"/>
        <condense val="0"/>
        <extend val="0"/>
        <outline val="0"/>
        <shadow val="0"/>
        <u val="none"/>
        <vertAlign val="baseline"/>
        <sz val="11"/>
        <color rgb="FF4C483D"/>
        <name val="Calibri"/>
        <scheme val="none"/>
      </font>
      <fill>
        <patternFill patternType="none">
          <fgColor rgb="FF000000"/>
          <bgColor rgb="FFFFFFFF"/>
        </patternFill>
      </fill>
      <alignment horizontal="general" vertical="center" textRotation="0" wrapText="1" indent="0" justifyLastLine="0" shrinkToFit="0" readingOrder="0"/>
      <protection locked="0" hidden="0"/>
    </dxf>
    <dxf>
      <font>
        <b/>
        <i val="0"/>
        <strike val="0"/>
        <outline val="0"/>
        <shadow val="0"/>
        <u val="none"/>
        <vertAlign val="baseline"/>
        <sz val="11"/>
        <color rgb="FFFFFFFF"/>
        <name val="Calibri"/>
        <scheme val="none"/>
      </font>
      <fill>
        <patternFill patternType="solid">
          <fgColor rgb="FF000000"/>
          <bgColor rgb="FF808080"/>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1"/>
        <color rgb="FF4C483D"/>
        <name val="Calibri"/>
        <scheme val="none"/>
      </font>
      <numFmt numFmtId="1" formatCode="0"/>
      <fill>
        <patternFill patternType="solid">
          <fgColor indexed="64"/>
          <bgColor rgb="FFFFFF66"/>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4C483D"/>
        <name val="Calibri"/>
        <scheme val="none"/>
      </font>
      <numFmt numFmtId="1" formatCode="0"/>
      <fill>
        <patternFill patternType="solid">
          <fgColor indexed="64"/>
          <bgColor rgb="FFFFFF66"/>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4C483D"/>
        <name val="Calibri"/>
        <scheme val="none"/>
      </font>
      <fill>
        <patternFill patternType="solid">
          <fgColor indexed="64"/>
          <bgColor rgb="FFFFFF66"/>
        </patternFill>
      </fill>
      <alignment horizontal="left" vertical="center" textRotation="0" wrapText="1" indent="0" justifyLastLine="0" shrinkToFit="0" readingOrder="0"/>
      <protection locked="0" hidden="0"/>
    </dxf>
    <dxf>
      <protection locked="1" hidden="1"/>
    </dxf>
    <dxf>
      <font>
        <b val="0"/>
        <i val="0"/>
        <strike val="0"/>
        <condense val="0"/>
        <extend val="0"/>
        <outline val="0"/>
        <shadow val="0"/>
        <u val="none"/>
        <vertAlign val="baseline"/>
        <sz val="11"/>
        <color rgb="FF4C483D"/>
        <name val="Calibri"/>
        <scheme val="none"/>
      </font>
      <fill>
        <patternFill patternType="none">
          <fgColor rgb="FF000000"/>
          <bgColor rgb="FFFFFFFF"/>
        </patternFill>
      </fill>
      <alignment horizontal="general" vertical="center" textRotation="0" wrapText="1" indent="0" justifyLastLine="0" shrinkToFit="0" readingOrder="0"/>
      <protection locked="1" hidden="1"/>
    </dxf>
    <dxf>
      <font>
        <b/>
        <i val="0"/>
        <strike val="0"/>
        <outline val="0"/>
        <shadow val="0"/>
        <u val="none"/>
        <vertAlign val="baseline"/>
        <sz val="11"/>
        <color rgb="FFFFFFFF"/>
        <name val="Calibri"/>
        <scheme val="none"/>
      </font>
      <fill>
        <patternFill patternType="solid">
          <fgColor rgb="FF000000"/>
          <bgColor rgb="FF808080"/>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rgb="FF4C483D"/>
        <name val="Calibri"/>
        <scheme val="none"/>
      </font>
      <numFmt numFmtId="164" formatCode="#,##0.000\ [$TND]"/>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1"/>
        <color rgb="FF4C483D"/>
        <name val="Calibri"/>
        <scheme val="none"/>
      </font>
      <numFmt numFmtId="1" formatCode="0"/>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1"/>
        <color rgb="FF4C483D"/>
        <name val="Calibri"/>
        <scheme val="none"/>
      </font>
      <numFmt numFmtId="1" formatCode="0"/>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4C483D"/>
        <name val="Calibri"/>
        <scheme val="none"/>
      </font>
      <fill>
        <patternFill patternType="solid">
          <fgColor indexed="64"/>
          <bgColor rgb="FFFFFF66"/>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4C483D"/>
        <name val="Calibri"/>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1"/>
        <color rgb="FF4C483D"/>
        <name val="Calibri"/>
        <scheme val="none"/>
      </font>
      <fill>
        <patternFill patternType="solid">
          <fgColor indexed="64"/>
          <bgColor theme="0" tint="-4.9989318521683403E-2"/>
        </patternFill>
      </fill>
      <alignment horizontal="left" vertical="center" textRotation="0" wrapText="1" indent="0" justifyLastLine="0" shrinkToFit="0" readingOrder="0"/>
      <protection locked="1" hidden="1"/>
    </dxf>
    <dxf>
      <protection locked="1" hidden="1"/>
    </dxf>
    <dxf>
      <font>
        <b val="0"/>
        <i val="0"/>
        <strike val="0"/>
        <condense val="0"/>
        <extend val="0"/>
        <outline val="0"/>
        <shadow val="0"/>
        <u val="none"/>
        <vertAlign val="baseline"/>
        <sz val="11"/>
        <color rgb="FF4C483D"/>
        <name val="Calibri"/>
        <scheme val="none"/>
      </font>
      <fill>
        <patternFill patternType="none">
          <fgColor rgb="FF000000"/>
          <bgColor rgb="FFFFFFFF"/>
        </patternFill>
      </fill>
      <alignment horizontal="general" vertical="center" textRotation="0" wrapText="1" indent="0" justifyLastLine="0" shrinkToFit="0" readingOrder="0"/>
      <protection locked="1" hidden="1"/>
    </dxf>
    <dxf>
      <font>
        <b/>
        <i val="0"/>
        <strike val="0"/>
        <outline val="0"/>
        <shadow val="0"/>
        <u val="none"/>
        <vertAlign val="baseline"/>
        <sz val="11"/>
        <color rgb="FFFFFFFF"/>
        <name val="Calibri"/>
        <scheme val="none"/>
      </font>
      <fill>
        <patternFill patternType="solid">
          <fgColor rgb="FF000000"/>
          <bgColor rgb="FF808080"/>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rgb="FF4C483D"/>
        <name val="Calibri"/>
        <scheme val="none"/>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1"/>
        <color rgb="FF4C483D"/>
        <name val="Calibri"/>
        <scheme val="none"/>
      </font>
      <fill>
        <patternFill patternType="solid">
          <fgColor indexed="64"/>
          <bgColor rgb="FFFFFF66"/>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rgb="FF4C483D"/>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4C483D"/>
        <name val="Calibri"/>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1"/>
        <color rgb="FF4C483D"/>
        <name val="Calibri"/>
        <scheme val="none"/>
      </font>
      <fill>
        <patternFill patternType="solid">
          <fgColor indexed="64"/>
          <bgColor theme="0" tint="-4.9989318521683403E-2"/>
        </patternFill>
      </fill>
      <alignment horizontal="left" vertical="center" textRotation="0" wrapText="1" indent="0" justifyLastLine="0" shrinkToFit="0" readingOrder="0"/>
      <protection locked="1" hidden="1"/>
    </dxf>
    <dxf>
      <protection locked="1" hidden="1"/>
    </dxf>
    <dxf>
      <font>
        <b val="0"/>
        <i val="0"/>
        <strike val="0"/>
        <condense val="0"/>
        <extend val="0"/>
        <outline val="0"/>
        <shadow val="0"/>
        <u val="none"/>
        <vertAlign val="baseline"/>
        <sz val="11"/>
        <color rgb="FF4C483D"/>
        <name val="Calibri"/>
        <scheme val="none"/>
      </font>
      <fill>
        <patternFill patternType="none">
          <fgColor rgb="FF000000"/>
          <bgColor rgb="FFFFFFFF"/>
        </patternFill>
      </fill>
      <alignment horizontal="general" vertical="center" textRotation="0" wrapText="1" indent="0" justifyLastLine="0" shrinkToFit="0" readingOrder="0"/>
      <protection locked="1" hidden="1"/>
    </dxf>
    <dxf>
      <font>
        <b/>
        <i val="0"/>
        <strike val="0"/>
        <outline val="0"/>
        <shadow val="0"/>
        <u val="none"/>
        <vertAlign val="baseline"/>
        <sz val="11"/>
        <color rgb="FFFFFFFF"/>
        <name val="Calibri"/>
        <scheme val="none"/>
      </font>
      <fill>
        <patternFill patternType="solid">
          <fgColor rgb="FF000000"/>
          <bgColor rgb="FF808080"/>
        </patternFill>
      </fill>
      <alignment horizontal="left" vertical="center" textRotation="0" wrapText="1" indent="0" justifyLastLine="0" shrinkToFit="0" readingOrder="0"/>
      <protection locked="1" hidden="1"/>
    </dxf>
    <dxf>
      <font>
        <b val="0"/>
        <i val="0"/>
        <color rgb="FFFFFFFF"/>
      </font>
      <fill>
        <patternFill>
          <bgColor rgb="FFFF5959"/>
        </patternFill>
      </fill>
      <border>
        <bottom style="thin">
          <color rgb="FFFF5959"/>
        </bottom>
      </border>
    </dxf>
    <dxf>
      <font>
        <b val="0"/>
        <i val="0"/>
      </font>
      <border>
        <bottom style="thin">
          <color rgb="FFFF5959"/>
        </bottom>
        <horizontal style="thin">
          <color rgb="FFBCB8AB"/>
        </horizontal>
      </border>
    </dxf>
  </dxfs>
  <tableStyles count="1" defaultTableStyle="TableStyleMedium2" defaultPivotStyle="PivotStyleMedium9">
    <tableStyle name="Custom Table Style" pivot="0" count="2">
      <tableStyleElement type="wholeTable" dxfId="105"/>
      <tableStyleElement type="headerRow" dxfId="104"/>
    </tableStyle>
  </tableStyles>
  <colors>
    <mruColors>
      <color rgb="FFFFFF66"/>
      <color rgb="FF960032"/>
      <color rgb="FFFF9109"/>
      <color rgb="FF700025"/>
      <color rgb="FFCCFFCC"/>
      <color rgb="FF17F917"/>
      <color rgb="FF996600"/>
      <color rgb="FFCED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421821</xdr:colOff>
      <xdr:row>1</xdr:row>
      <xdr:rowOff>385078</xdr:rowOff>
    </xdr:from>
    <xdr:to>
      <xdr:col>1</xdr:col>
      <xdr:colOff>380999</xdr:colOff>
      <xdr:row>3</xdr:row>
      <xdr:rowOff>54427</xdr:rowOff>
    </xdr:to>
    <xdr:pic>
      <xdr:nvPicPr>
        <xdr:cNvPr id="6" name="Image 5" descr="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21821" y="534757"/>
          <a:ext cx="1945821" cy="866777"/>
        </a:xfrm>
        <a:prstGeom prst="rect">
          <a:avLst/>
        </a:prstGeom>
        <a:noFill/>
        <a:ln w="9525">
          <a:noFill/>
          <a:miter lim="800000"/>
          <a:headEnd/>
          <a:tailEnd/>
        </a:ln>
      </xdr:spPr>
    </xdr:pic>
    <xdr:clientData/>
  </xdr:twoCellAnchor>
  <xdr:twoCellAnchor editAs="oneCell">
    <xdr:from>
      <xdr:col>2</xdr:col>
      <xdr:colOff>3350400</xdr:colOff>
      <xdr:row>1</xdr:row>
      <xdr:rowOff>163285</xdr:rowOff>
    </xdr:from>
    <xdr:to>
      <xdr:col>3</xdr:col>
      <xdr:colOff>1216</xdr:colOff>
      <xdr:row>4</xdr:row>
      <xdr:rowOff>0</xdr:rowOff>
    </xdr:to>
    <xdr:pic>
      <xdr:nvPicPr>
        <xdr:cNvPr id="7" name="Image 6" descr="Résultat de recherche d'images pour &quot;logo soib&quo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23686" y="312964"/>
          <a:ext cx="1729002" cy="1183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23812</xdr:colOff>
      <xdr:row>0</xdr:row>
      <xdr:rowOff>55562</xdr:rowOff>
    </xdr:from>
    <xdr:to>
      <xdr:col>0</xdr:col>
      <xdr:colOff>563812</xdr:colOff>
      <xdr:row>0</xdr:row>
      <xdr:rowOff>595562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55562"/>
          <a:ext cx="540000" cy="5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23812</xdr:colOff>
      <xdr:row>0</xdr:row>
      <xdr:rowOff>55562</xdr:rowOff>
    </xdr:from>
    <xdr:to>
      <xdr:col>0</xdr:col>
      <xdr:colOff>563812</xdr:colOff>
      <xdr:row>0</xdr:row>
      <xdr:rowOff>595562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55562"/>
          <a:ext cx="540000" cy="54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23812</xdr:colOff>
      <xdr:row>0</xdr:row>
      <xdr:rowOff>55562</xdr:rowOff>
    </xdr:from>
    <xdr:to>
      <xdr:col>0</xdr:col>
      <xdr:colOff>563812</xdr:colOff>
      <xdr:row>0</xdr:row>
      <xdr:rowOff>595562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55562"/>
          <a:ext cx="540000"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23812</xdr:colOff>
      <xdr:row>0</xdr:row>
      <xdr:rowOff>55562</xdr:rowOff>
    </xdr:from>
    <xdr:to>
      <xdr:col>0</xdr:col>
      <xdr:colOff>563812</xdr:colOff>
      <xdr:row>0</xdr:row>
      <xdr:rowOff>595562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55562"/>
          <a:ext cx="540000"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23812</xdr:colOff>
      <xdr:row>0</xdr:row>
      <xdr:rowOff>55562</xdr:rowOff>
    </xdr:from>
    <xdr:to>
      <xdr:col>0</xdr:col>
      <xdr:colOff>563812</xdr:colOff>
      <xdr:row>0</xdr:row>
      <xdr:rowOff>595562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55562"/>
          <a:ext cx="540000" cy="54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23812</xdr:colOff>
      <xdr:row>0</xdr:row>
      <xdr:rowOff>55562</xdr:rowOff>
    </xdr:from>
    <xdr:to>
      <xdr:col>0</xdr:col>
      <xdr:colOff>563812</xdr:colOff>
      <xdr:row>0</xdr:row>
      <xdr:rowOff>595562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55562"/>
          <a:ext cx="540000" cy="540000"/>
        </a:xfrm>
        <a:prstGeom prst="rect">
          <a:avLst/>
        </a:prstGeom>
      </xdr:spPr>
    </xdr:pic>
    <xdr:clientData/>
  </xdr:twoCellAnchor>
</xdr:wsDr>
</file>

<file path=xl/tables/table1.xml><?xml version="1.0" encoding="utf-8"?>
<table xmlns="http://schemas.openxmlformats.org/spreadsheetml/2006/main" id="4" name="DeclarationProd" displayName="DeclarationProd" ref="B7:E28" headerRowDxfId="103" dataDxfId="102" totalsRowDxfId="101">
  <autoFilter ref="B7:E28"/>
  <tableColumns count="4">
    <tableColumn id="1" name="Article  / désignation" totalsRowLabel="Total" dataDxfId="100" dataCellStyle="Text">
      <calculatedColumnFormula>IF(CompositionBlocs[[#This Row],[Types blocs]]="","",CompositionBlocs[[#This Row],[Types blocs]])</calculatedColumnFormula>
    </tableColumn>
    <tableColumn id="2" name="Poids (kg)" dataDxfId="99" totalsRowDxfId="98" dataCellStyle="Text">
      <calculatedColumnFormula>IFERROR(VLOOKUP(DeclarationProd[[#This Row],[Article  / désignation]],CompositionBlocs[],2,FALSE),"")</calculatedColumnFormula>
    </tableColumn>
    <tableColumn id="12" name="Quantité Produite" dataDxfId="97" dataCellStyle="Text"/>
    <tableColumn id="16" name="Poids Total (Kg)" dataDxfId="96" dataCellStyle="Text">
      <calculatedColumnFormula>IFERROR(DeclarationProd[[#This Row],[Quantité Produite]]*DeclarationProd[[#This Row],[Poids (kg)]],"")</calculatedColumnFormula>
    </tableColumn>
  </tableColumns>
  <tableStyleInfo name="Custom Table Style" showFirstColumn="0" showLastColumn="0" showRowStripes="1" showColumnStripes="0"/>
  <extLst>
    <ext xmlns:x14="http://schemas.microsoft.com/office/spreadsheetml/2009/9/main" uri="{504A1905-F514-4f6f-8877-14C23A59335A}">
      <x14:table altText="Liste de projet" altTextSummary="Liste des détails du projet tels que les caractéristiques  Projet, Catégorie, Attribué à, Début estimé, Fin estimée, Travail estimé, Durée estimée, BLANK, Début réel, Fin réelle, Travail réel, Durée réelle et Remarques."/>
    </ext>
  </extLst>
</table>
</file>

<file path=xl/tables/table2.xml><?xml version="1.0" encoding="utf-8"?>
<table xmlns="http://schemas.openxmlformats.org/spreadsheetml/2006/main" id="5" name="DeclarationConso" displayName="DeclarationConso" ref="B7:G28" headerRowDxfId="95" dataDxfId="94" totalsRowDxfId="93">
  <autoFilter ref="B7:G28"/>
  <tableColumns count="6">
    <tableColumn id="1" name="Article  / désignation" totalsRowLabel="Total" dataDxfId="92" dataCellStyle="Text">
      <calculatedColumnFormula>IF('Paramétrage Matières'!B7="","",'Paramétrage Matières'!B7)</calculatedColumnFormula>
    </tableColumn>
    <tableColumn id="2" name="Unité" dataDxfId="91" totalsRowDxfId="90" dataCellStyle="Text">
      <calculatedColumnFormula>IFERROR(VLOOKUP(DeclarationConso[[#This Row],[Article  / désignation]],ParametrageMat[],3,FALSE),"")</calculatedColumnFormula>
    </tableColumn>
    <tableColumn id="12" name="Consommation réelle" dataDxfId="89" totalsRowDxfId="88" dataCellStyle="Text"/>
    <tableColumn id="16" name="Consommation théorique" dataDxfId="87" dataCellStyle="Text">
      <calculatedColumnFormula>IFERROR(DeclarationConso[[#This Row],[Consommation réelle]]*DeclarationConso[[#This Row],[Unité]],"")</calculatedColumnFormula>
    </tableColumn>
    <tableColumn id="3" name="Surconsommation" dataDxfId="86"/>
    <tableColumn id="4" name="Coût surconsommation" dataDxfId="85">
      <calculatedColumnFormula>IFERROR(DeclarationConso[[#This Row],[Surconsommation]]*VLOOKUP(DeclarationConso[[#This Row],[Article  / désignation]],ParametrageMat[],6,FALSE),"")</calculatedColumnFormula>
    </tableColumn>
  </tableColumns>
  <tableStyleInfo name="Custom Table Style" showFirstColumn="0" showLastColumn="0" showRowStripes="1" showColumnStripes="0"/>
  <extLst>
    <ext xmlns:x14="http://schemas.microsoft.com/office/spreadsheetml/2009/9/main" uri="{504A1905-F514-4f6f-8877-14C23A59335A}">
      <x14:table altText="Liste de projet" altTextSummary="Liste des détails du projet tels que les caractéristiques  Projet, Catégorie, Attribué à, Début estimé, Fin estimée, Travail estimé, Durée estimée, BLANK, Début réel, Fin réelle, Travail réel, Durée réelle et Remarques."/>
    </ext>
  </extLst>
</table>
</file>

<file path=xl/tables/table3.xml><?xml version="1.0" encoding="utf-8"?>
<table xmlns="http://schemas.openxmlformats.org/spreadsheetml/2006/main" id="7" name="DeclarationConso8" displayName="DeclarationConso8" ref="I7:L28" headerRowDxfId="84" dataDxfId="83" totalsRowDxfId="82">
  <autoFilter ref="I7:L28"/>
  <tableColumns count="4">
    <tableColumn id="1" name="Article  / désignation" totalsRowLabel="Total" dataDxfId="81" dataCellStyle="Text"/>
    <tableColumn id="16" name="Quantité consommée" dataDxfId="80" dataCellStyle="Text"/>
    <tableColumn id="3" name="Prix unitaire" dataDxfId="79"/>
    <tableColumn id="4" name="Coût total" dataDxfId="78">
      <calculatedColumnFormula>IF(DeclarationConso8[[#This Row],[Article  / désignation]]="","",DeclarationConso8[[#This Row],[Quantité consommée]]*DeclarationConso8[[#This Row],[Prix unitaire]])</calculatedColumnFormula>
    </tableColumn>
  </tableColumns>
  <tableStyleInfo name="Custom Table Style" showFirstColumn="0" showLastColumn="0" showRowStripes="1" showColumnStripes="0"/>
  <extLst>
    <ext xmlns:x14="http://schemas.microsoft.com/office/spreadsheetml/2009/9/main" uri="{504A1905-F514-4f6f-8877-14C23A59335A}">
      <x14:table altText="Liste de projet" altTextSummary="Liste des détails du projet tels que les caractéristiques  Projet, Catégorie, Attribué à, Début estimé, Fin estimée, Travail estimé, Durée estimée, BLANK, Début réel, Fin réelle, Travail réel, Durée réelle et Remarques."/>
    </ext>
  </extLst>
</table>
</file>

<file path=xl/tables/table4.xml><?xml version="1.0" encoding="utf-8"?>
<table xmlns="http://schemas.openxmlformats.org/spreadsheetml/2006/main" id="6" name="FraisMensuels" displayName="FraisMensuels" ref="B7:D40" headerRowDxfId="77" dataDxfId="76" totalsRowDxfId="75">
  <autoFilter ref="B7:D40"/>
  <tableColumns count="3">
    <tableColumn id="1" name="Article  / désignation" totalsRowLabel="Total" dataDxfId="74" totalsRowDxfId="73" dataCellStyle="Text"/>
    <tableColumn id="12" name="Type" dataDxfId="72" totalsRowDxfId="71" dataCellStyle="Text"/>
    <tableColumn id="3" name="Coût mensuel" dataDxfId="70" totalsRowDxfId="69" dataCellStyle="Text"/>
  </tableColumns>
  <tableStyleInfo name="Custom Table Style" showFirstColumn="0" showLastColumn="0" showRowStripes="1" showColumnStripes="0"/>
  <extLst>
    <ext xmlns:x14="http://schemas.microsoft.com/office/spreadsheetml/2009/9/main" uri="{504A1905-F514-4f6f-8877-14C23A59335A}">
      <x14:table altText="Liste de projet" altTextSummary="Liste des détails du projet tels que les caractéristiques  Projet, Catégorie, Attribué à, Début estimé, Fin estimée, Travail estimé, Durée estimée, BLANK, Début réel, Fin réelle, Travail réel, Durée réelle et Remarques."/>
    </ext>
  </extLst>
</table>
</file>

<file path=xl/tables/table5.xml><?xml version="1.0" encoding="utf-8"?>
<table xmlns="http://schemas.openxmlformats.org/spreadsheetml/2006/main" id="1" name="SuiviCouts" displayName="SuiviCouts" ref="B7:U40" headerRowDxfId="62" dataDxfId="61" totalsRowDxfId="60">
  <autoFilter ref="B7:U40"/>
  <tableColumns count="20">
    <tableColumn id="1" name="Types blocs" totalsRowLabel="Total" dataDxfId="59" dataCellStyle="Text">
      <calculatedColumnFormula>IF(CompositionBlocs[[#This Row],[Types blocs]]="","",CompositionBlocs[[#This Row],[Types blocs]])</calculatedColumnFormula>
    </tableColumn>
    <tableColumn id="12" name="Quantité produite" dataDxfId="58" dataCellStyle="Text">
      <calculatedColumnFormula>IFERROR(IF(VLOOKUP(SuiviCouts[[#This Row],[Types blocs]],DeclarationProd[],3,FALSE)="","",VLOOKUP(SuiviCouts[[#This Row],[Types blocs]],DeclarationProd[],3,FALSE)),"")</calculatedColumnFormula>
    </tableColumn>
    <tableColumn id="2" name="Terre (kg)" dataDxfId="57" dataCellStyle="Text">
      <calculatedColumnFormula>IFERROR(SuiviCouts[[#This Row],[Quantité produite]]*VLOOKUP(SuiviCouts[[#This Row],[Types blocs]],CompositionBlocs[],4,FALSE),"")</calculatedColumnFormula>
    </tableColumn>
    <tableColumn id="6" name="Ciment (kg)" dataDxfId="56" dataCellStyle="Text">
      <calculatedColumnFormula>IFERROR(SuiviCouts[[#This Row],[Quantité produite]]*VLOOKUP(SuiviCouts[[#This Row],[Types blocs]],CompositionBlocs[],5,FALSE),"")</calculatedColumnFormula>
    </tableColumn>
    <tableColumn id="10" name="Nombre de palettes" dataDxfId="55" dataCellStyle="Text">
      <calculatedColumnFormula>IFERROR(ROUNDUP(SuiviCouts[[#This Row],[Quantité produite]]*VLOOKUP(SuiviCouts[[#This Row],[Types blocs]],CompositionBlocs[],6,FALSE),0),"")</calculatedColumnFormula>
    </tableColumn>
    <tableColumn id="9" name="Bande de cerclage (m)" dataDxfId="54" dataCellStyle="Text">
      <calculatedColumnFormula>IFERROR(SuiviCouts[[#This Row],[Quantité produite]]*VLOOKUP(SuiviCouts[[#This Row],[Types blocs]],CompositionBlocs[],7,FALSE),"")</calculatedColumnFormula>
    </tableColumn>
    <tableColumn id="3" name="Coût Terre" dataDxfId="53" dataCellStyle="Text">
      <calculatedColumnFormula>IFERROR(SuiviCouts[[#This Row],[Quantité produite]]*VLOOKUP(SuiviCouts[[#This Row],[Types blocs]],CompositionBlocs[],8,FALSE),"")</calculatedColumnFormula>
    </tableColumn>
    <tableColumn id="8" name="Coût Ciment" dataDxfId="52" dataCellStyle="Text">
      <calculatedColumnFormula>IFERROR(SuiviCouts[[#This Row],[Quantité produite]]*VLOOKUP(SuiviCouts[[#This Row],[Types blocs]],CompositionBlocs[],9,FALSE),"")</calculatedColumnFormula>
    </tableColumn>
    <tableColumn id="4" name="Coût Palettes" dataDxfId="51" dataCellStyle="Text">
      <calculatedColumnFormula>IFERROR(SuiviCouts[[#This Row],[Quantité produite]]*VLOOKUP(SuiviCouts[[#This Row],[Types blocs]],CompositionBlocs[],10,FALSE),"")</calculatedColumnFormula>
    </tableColumn>
    <tableColumn id="7" name="Coût Bande de cerclage" dataDxfId="50" dataCellStyle="Text">
      <calculatedColumnFormula>IFERROR(SuiviCouts[[#This Row],[Quantité produite]]*VLOOKUP(SuiviCouts[[#This Row],[Types blocs]],CompositionBlocs[],11,FALSE),"")</calculatedColumnFormula>
    </tableColumn>
    <tableColumn id="5" name="Total coût matière" dataDxfId="49" dataCellStyle="Text">
      <calculatedColumnFormula>IF(VLOOKUP(SuiviCouts[[#This Row],[Types blocs]],DeclarationProd[],3,FALSE)="","",SUM(SuiviCouts[[#This Row],[Coût Terre]:[Coût Bande de cerclage]]))</calculatedColumnFormula>
    </tableColumn>
    <tableColumn id="18" name="Valeur Surconsommation/Saving" dataDxfId="48" dataCellStyle="Text">
      <calculatedColumnFormula>IFERROR('Déclaration Consommation'!$D$4*(SuiviCouts[[#This Row],[Quantité produite]]/'Déclaration Production'!$D$4),"")</calculatedColumnFormula>
    </tableColumn>
    <tableColumn id="11" name="Coût matière réel / bloc" dataDxfId="47" dataCellStyle="Text">
      <calculatedColumnFormula>IFERROR((SuiviCouts[[#This Row],[Total coût matière]]+SuiviCouts[[#This Row],[Valeur Surconsommation/Saving]])/SuiviCouts[[#This Row],[Quantité produite]],"")</calculatedColumnFormula>
    </tableColumn>
    <tableColumn id="13" name="Frais de gestion imputés" dataDxfId="46">
      <calculatedColumnFormula>IFERROR('Frais de gestion'!$C$5*(SuiviCouts[[#This Row],[Quantité produite]]/'Déclaration Production'!$D$4),"")</calculatedColumnFormula>
    </tableColumn>
    <tableColumn id="14" name="Coût réel/Bloc" dataDxfId="45">
      <calculatedColumnFormula>IFERROR(SuiviCouts[[#This Row],[Coût matière réel / bloc]]+(SuiviCouts[[#This Row],[Frais de gestion imputés]]/SuiviCouts[[#This Row],[Quantité produite]]),"")</calculatedColumnFormula>
    </tableColumn>
    <tableColumn id="17" name="Coût Cible/Bloc" dataDxfId="44" dataCellStyle="Text">
      <calculatedColumnFormula>IFERROR(VLOOKUP(SuiviCouts[[#This Row],[Types blocs]],CompositionBlocs[],12,FALSE),"")</calculatedColumnFormula>
    </tableColumn>
    <tableColumn id="20" name="Variation du coût" dataDxfId="43" dataCellStyle="Text">
      <calculatedColumnFormula>IFERROR((SuiviCouts[[#This Row],[Coût réel/Bloc]]-SuiviCouts[[#This Row],[Coût Cible/Bloc]])/SuiviCouts[[#This Row],[Coût Cible/Bloc]],"")</calculatedColumnFormula>
    </tableColumn>
    <tableColumn id="15" name="Prix de vente" dataDxfId="42" dataCellStyle="Text">
      <calculatedColumnFormula>IFERROR(IF(VLOOKUP(SuiviCouts[[#This Row],[Types blocs]],CompositionBlocs[],3,FALSE)="","",VLOOKUP(SuiviCouts[[#This Row],[Types blocs]],CompositionBlocs[],3,FALSE)),"")</calculatedColumnFormula>
    </tableColumn>
    <tableColumn id="16" name="Marge / Bloc" dataDxfId="41" dataCellStyle="Text">
      <calculatedColumnFormula>IFERROR(SuiviCouts[[#This Row],[Prix de vente]]-SuiviCouts[[#This Row],[Coût réel/Bloc]],"")</calculatedColumnFormula>
    </tableColumn>
    <tableColumn id="19" name="Variation Marge" dataDxfId="40" dataCellStyle="Text">
      <calculatedColumnFormula>IFERROR((SuiviCouts[[#This Row],[Marge / Bloc]]-(SuiviCouts[[#This Row],[Prix de vente]]-SuiviCouts[[#This Row],[Coût Cible/Bloc]]))/(SuiviCouts[[#This Row],[Prix de vente]]-SuiviCouts[[#This Row],[Coût Cible/Bloc]]),"")</calculatedColumnFormula>
    </tableColumn>
  </tableColumns>
  <tableStyleInfo name="Custom Table Style" showFirstColumn="0" showLastColumn="0" showRowStripes="1" showColumnStripes="0"/>
  <extLst>
    <ext xmlns:x14="http://schemas.microsoft.com/office/spreadsheetml/2009/9/main" uri="{504A1905-F514-4f6f-8877-14C23A59335A}">
      <x14:table altText="Liste de projet" altTextSummary="Liste des détails du projet tels que les caractéristiques  Projet, Catégorie, Attribué à, Début estimé, Fin estimée, Travail estimé, Durée estimée, BLANK, Début réel, Fin réelle, Travail réel, Durée réelle et Remarques."/>
    </ext>
  </extLst>
</table>
</file>

<file path=xl/tables/table6.xml><?xml version="1.0" encoding="utf-8"?>
<table xmlns="http://schemas.openxmlformats.org/spreadsheetml/2006/main" id="3" name="CompositionBlocs" displayName="CompositionBlocs" ref="B7:M40" headerRowDxfId="39" dataDxfId="38" totalsRowDxfId="37">
  <autoFilter ref="B7:M40"/>
  <tableColumns count="12">
    <tableColumn id="1" name="Types blocs" totalsRowLabel="Total" dataDxfId="36" totalsRowDxfId="35" dataCellStyle="Text"/>
    <tableColumn id="12" name="Poids du bloc en kg" dataDxfId="34" totalsRowDxfId="33" dataCellStyle="Text"/>
    <tableColumn id="5" name="Prix de vente" dataDxfId="32" dataCellStyle="Text"/>
    <tableColumn id="2" name="Quantité Terre (kg)" dataDxfId="31" totalsRowDxfId="30" dataCellStyle="Text">
      <calculatedColumnFormula>IF(CompositionBlocs[[#This Row],[Types blocs]]="","",93%*CompositionBlocs[[#This Row],[Poids du bloc en kg]])</calculatedColumnFormula>
    </tableColumn>
    <tableColumn id="6" name="Quantité Ciment (kg)" dataDxfId="29" totalsRowDxfId="28" dataCellStyle="Text">
      <calculatedColumnFormula>IF(CompositionBlocs[[#This Row],[Types blocs]]="","",7%*CompositionBlocs[[#This Row],[Poids du bloc en kg]])</calculatedColumnFormula>
    </tableColumn>
    <tableColumn id="10" name="Nombre de palette" dataDxfId="27" totalsRowDxfId="26" dataCellStyle="Text"/>
    <tableColumn id="9" name="Bande de cerclage (m)" dataDxfId="25" totalsRowDxfId="24" dataCellStyle="Text"/>
    <tableColumn id="3" name="Coût Terre / Bloc" dataDxfId="23" totalsRowDxfId="22" dataCellStyle="Text">
      <calculatedColumnFormula>IFERROR(IF(CompositionBlocs[[#This Row],[Types blocs]]="","",VLOOKUP("Terre",ParametrageMat[],6,FALSE)*CompositionBlocs[[#This Row],[Quantité Terre (kg)]]),"")</calculatedColumnFormula>
    </tableColumn>
    <tableColumn id="8" name="Coût Ciment / Bloc" dataDxfId="21" totalsRowDxfId="20" dataCellStyle="Text">
      <calculatedColumnFormula>IFERROR(IF(CompositionBlocs[[#This Row],[Types blocs]]="","",VLOOKUP("Ciment",ParametrageMat[],6,FALSE)*CompositionBlocs[[#This Row],[Quantité Ciment (kg)]]),"")</calculatedColumnFormula>
    </tableColumn>
    <tableColumn id="4" name="Coût Palette / Bloc" dataDxfId="19" totalsRowDxfId="18" dataCellStyle="Text">
      <calculatedColumnFormula>IFERROR(IF(CompositionBlocs[[#This Row],[Nombre de palette]]="","",VLOOKUP("Palette",ParametrageMat[],6,FALSE)*CompositionBlocs[[#This Row],[Nombre de palette]]),"")</calculatedColumnFormula>
    </tableColumn>
    <tableColumn id="7" name="Coût Bande de cerclage / Bloc" dataDxfId="17" totalsRowDxfId="16" dataCellStyle="Text">
      <calculatedColumnFormula>IFERROR(IF(CompositionBlocs[[#This Row],[Bande de cerclage (m)]]="","",VLOOKUP("Bande de cerclage",ParametrageMat[],6,FALSE)*CompositionBlocs[[#This Row],[Bande de cerclage (m)]]),"")</calculatedColumnFormula>
    </tableColumn>
    <tableColumn id="11" name="Coût Cible total / Bloc" dataDxfId="15" dataCellStyle="Text"/>
  </tableColumns>
  <tableStyleInfo name="Custom Table Style" showFirstColumn="0" showLastColumn="0" showRowStripes="1" showColumnStripes="0"/>
  <extLst>
    <ext xmlns:x14="http://schemas.microsoft.com/office/spreadsheetml/2009/9/main" uri="{504A1905-F514-4f6f-8877-14C23A59335A}">
      <x14:table altText="Liste de projet" altTextSummary="Liste des détails du projet tels que les caractéristiques  Projet, Catégorie, Attribué à, Début estimé, Fin estimée, Travail estimé, Durée estimée, BLANK, Début réel, Fin réelle, Travail réel, Durée réelle et Remarques."/>
    </ext>
  </extLst>
</table>
</file>

<file path=xl/tables/table7.xml><?xml version="1.0" encoding="utf-8"?>
<table xmlns="http://schemas.openxmlformats.org/spreadsheetml/2006/main" id="2" name="ParametrageMat" displayName="ParametrageMat" ref="B6:G39" headerRowDxfId="14" dataDxfId="13" totalsRowDxfId="12">
  <autoFilter ref="B6:G39"/>
  <tableColumns count="6">
    <tableColumn id="1" name="Article  / désignation" totalsRowLabel="Total" dataDxfId="11" totalsRowDxfId="10" dataCellStyle="Text"/>
    <tableColumn id="12" name="Type" dataDxfId="9" totalsRowDxfId="8" dataCellStyle="Text"/>
    <tableColumn id="2" name="Unité" dataDxfId="7" totalsRowDxfId="6" dataCellStyle="Text"/>
    <tableColumn id="6" name="PCB" dataDxfId="5" totalsRowDxfId="4" dataCellStyle="Text"/>
    <tableColumn id="3" name="Prix d'achat" dataDxfId="3" totalsRowDxfId="2" dataCellStyle="Text"/>
    <tableColumn id="4" name="Prix d'achat unitaire" dataDxfId="1" totalsRowDxfId="0" dataCellStyle="Text">
      <calculatedColumnFormula>IFERROR(ParametrageMat[[#This Row],[Prix d''achat]]/ParametrageMat[[#This Row],[PCB]],"")</calculatedColumnFormula>
    </tableColumn>
  </tableColumns>
  <tableStyleInfo name="Custom Table Style" showFirstColumn="0" showLastColumn="0" showRowStripes="1" showColumnStripes="0"/>
  <extLst>
    <ext xmlns:x14="http://schemas.microsoft.com/office/spreadsheetml/2009/9/main" uri="{504A1905-F514-4f6f-8877-14C23A59335A}">
      <x14:table altText="Liste de projet" altTextSummary="Liste des détails du projet tels que les caractéristiques  Projet, Catégorie, Attribué à, Début estimé, Fin estimée, Travail estimé, Durée estimée, BLANK, Début réel, Fin réelle, Travail réel, Durée réelle et Remarques."/>
    </ext>
  </extLst>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externalLinkPath" Target="file:///D:\Missions%20encours%202020\SOIB\3.%20Documents%20de%20travail\Calcul%20des%20co&#251;ts\Nouveau%20dossier\Calcul%20des%20co&#251;ts_V0.xlsx" TargetMode="External"/><Relationship Id="rId1" Type="http://schemas.openxmlformats.org/officeDocument/2006/relationships/externalLinkPath" Target="file:///D:\Missions%20encours%202020\SOIB\3.%20Documents%20de%20travail\Calcul%20des%20co&#251;ts\Nouveau%20dossier\Calcul%20des%20co&#251;ts_V0.xlsx" TargetMode="External"/><Relationship Id="rId5" Type="http://schemas.openxmlformats.org/officeDocument/2006/relationships/table" Target="../tables/table5.x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960032"/>
  </sheetPr>
  <dimension ref="A1:E13"/>
  <sheetViews>
    <sheetView showGridLines="0" tabSelected="1" zoomScale="70" zoomScaleNormal="70" workbookViewId="0">
      <selection activeCell="A8" sqref="A8:C8"/>
    </sheetView>
  </sheetViews>
  <sheetFormatPr baseColWidth="10" defaultColWidth="11.36328125" defaultRowHeight="10.5" x14ac:dyDescent="0.35"/>
  <cols>
    <col min="1" max="2" width="26.08984375" style="2" customWidth="1"/>
    <col min="3" max="3" width="66.90625" style="2" customWidth="1"/>
    <col min="4" max="4" width="2" style="2" customWidth="1"/>
    <col min="5" max="16384" width="11.36328125" style="2"/>
  </cols>
  <sheetData>
    <row r="1" spans="1:5" ht="11.25" customHeight="1" x14ac:dyDescent="0.5">
      <c r="A1" s="1"/>
      <c r="B1" s="1"/>
      <c r="C1" s="1"/>
      <c r="D1" s="4"/>
      <c r="E1" s="5"/>
    </row>
    <row r="2" spans="1:5" ht="75" customHeight="1" x14ac:dyDescent="0.5">
      <c r="A2" s="1"/>
      <c r="B2" s="1"/>
      <c r="C2" s="1"/>
      <c r="D2" s="4"/>
      <c r="E2" s="5"/>
    </row>
    <row r="3" spans="1:5" ht="18.75" customHeight="1" x14ac:dyDescent="0.5">
      <c r="A3" s="1"/>
      <c r="B3" s="1"/>
      <c r="C3" s="1"/>
      <c r="D3" s="4"/>
      <c r="E3" s="5"/>
    </row>
    <row r="4" spans="1:5" ht="11.25" customHeight="1" x14ac:dyDescent="0.5">
      <c r="A4" s="1"/>
      <c r="B4" s="1"/>
      <c r="C4" s="1"/>
      <c r="D4" s="4"/>
      <c r="E4" s="5"/>
    </row>
    <row r="5" spans="1:5" ht="11.25" customHeight="1" x14ac:dyDescent="0.5">
      <c r="A5" s="1"/>
      <c r="B5" s="1"/>
      <c r="C5" s="1"/>
      <c r="D5" s="4"/>
      <c r="E5" s="5"/>
    </row>
    <row r="6" spans="1:5" ht="11.25" customHeight="1" x14ac:dyDescent="0.5">
      <c r="A6" s="1"/>
      <c r="B6" s="1"/>
      <c r="C6" s="1"/>
      <c r="D6" s="4"/>
      <c r="E6" s="5"/>
    </row>
    <row r="7" spans="1:5" ht="29.25" customHeight="1" x14ac:dyDescent="0.5">
      <c r="A7" s="1"/>
      <c r="B7" s="1"/>
      <c r="C7" s="1"/>
      <c r="D7" s="4"/>
      <c r="E7" s="5"/>
    </row>
    <row r="8" spans="1:5" ht="123" customHeight="1" x14ac:dyDescent="0.35">
      <c r="A8" s="69" t="s">
        <v>1</v>
      </c>
      <c r="B8" s="69"/>
      <c r="C8" s="69"/>
      <c r="D8" s="4"/>
      <c r="E8" s="5"/>
    </row>
    <row r="9" spans="1:5" ht="80" customHeight="1" x14ac:dyDescent="0.35">
      <c r="A9" s="70" t="s">
        <v>81</v>
      </c>
      <c r="B9" s="70"/>
      <c r="C9" s="70"/>
      <c r="D9" s="4"/>
      <c r="E9" s="5"/>
    </row>
    <row r="10" spans="1:5" ht="40" customHeight="1" x14ac:dyDescent="0.35">
      <c r="A10" s="72" t="s">
        <v>75</v>
      </c>
      <c r="B10" s="72"/>
      <c r="C10" s="72"/>
      <c r="D10" s="4"/>
      <c r="E10" s="5"/>
    </row>
    <row r="11" spans="1:5" ht="12.5" x14ac:dyDescent="0.35">
      <c r="A11" s="71"/>
      <c r="B11" s="71"/>
      <c r="C11" s="71"/>
      <c r="D11" s="4"/>
      <c r="E11" s="5"/>
    </row>
    <row r="12" spans="1:5" ht="15.5" x14ac:dyDescent="0.35">
      <c r="A12" s="6" t="s">
        <v>0</v>
      </c>
      <c r="B12" s="7"/>
      <c r="C12" s="7"/>
      <c r="D12" s="4"/>
      <c r="E12" s="5"/>
    </row>
    <row r="13" spans="1:5" x14ac:dyDescent="0.25">
      <c r="A13" s="3"/>
      <c r="B13" s="3"/>
      <c r="C13" s="3"/>
      <c r="D13" s="4"/>
      <c r="E13" s="5"/>
    </row>
  </sheetData>
  <mergeCells count="4">
    <mergeCell ref="A8:C8"/>
    <mergeCell ref="A9:C9"/>
    <mergeCell ref="A11:C11"/>
    <mergeCell ref="A10:C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8"/>
  <sheetViews>
    <sheetView showGridLines="0" zoomScale="80" zoomScaleNormal="80" workbookViewId="0">
      <pane ySplit="7" topLeftCell="A8" activePane="bottomLeft" state="frozen"/>
      <selection activeCell="B1" sqref="B1:Q1"/>
      <selection pane="bottomLeft" activeCell="B1" sqref="B1:M1"/>
    </sheetView>
  </sheetViews>
  <sheetFormatPr baseColWidth="10" defaultColWidth="8.7265625" defaultRowHeight="18.5" x14ac:dyDescent="0.35"/>
  <cols>
    <col min="1" max="1" width="8.7265625" style="21"/>
    <col min="2" max="2" width="30.6328125" style="46" customWidth="1"/>
    <col min="3" max="3" width="12.6328125" style="46" customWidth="1"/>
    <col min="4" max="5" width="25.6328125" style="46" customWidth="1"/>
    <col min="6" max="10" width="12.6328125" style="21" customWidth="1"/>
    <col min="11" max="13" width="14.6328125" style="21" customWidth="1"/>
    <col min="14" max="17" width="12.6328125" customWidth="1"/>
  </cols>
  <sheetData>
    <row r="1" spans="2:13" ht="56.5" customHeight="1" x14ac:dyDescent="0.35">
      <c r="B1" s="73" t="s">
        <v>40</v>
      </c>
      <c r="C1" s="73"/>
      <c r="D1" s="73"/>
      <c r="E1" s="73"/>
      <c r="F1" s="73"/>
      <c r="G1" s="73"/>
      <c r="H1" s="73"/>
      <c r="I1" s="73"/>
      <c r="J1" s="73"/>
      <c r="K1" s="73"/>
      <c r="L1" s="73"/>
      <c r="M1" s="73"/>
    </row>
    <row r="2" spans="2:13" ht="8" customHeight="1" x14ac:dyDescent="0.35">
      <c r="B2" s="22"/>
      <c r="C2" s="22"/>
      <c r="D2" s="22"/>
      <c r="E2" s="22"/>
    </row>
    <row r="3" spans="2:13" x14ac:dyDescent="0.35">
      <c r="B3" s="22"/>
      <c r="C3" s="22"/>
      <c r="D3" s="22"/>
      <c r="E3" s="22"/>
    </row>
    <row r="4" spans="2:13" x14ac:dyDescent="0.35">
      <c r="B4" s="47" t="s">
        <v>35</v>
      </c>
      <c r="C4" s="47"/>
      <c r="D4" s="48">
        <f>SUM(DeclarationProd[Quantité Produite])</f>
        <v>34800</v>
      </c>
      <c r="E4" s="49" t="s">
        <v>49</v>
      </c>
    </row>
    <row r="5" spans="2:13" x14ac:dyDescent="0.35">
      <c r="B5" s="47" t="s">
        <v>48</v>
      </c>
      <c r="C5" s="47"/>
      <c r="D5" s="48">
        <f>SUM(DeclarationProd[Poids Total (Kg)])</f>
        <v>403000</v>
      </c>
      <c r="E5" s="49" t="s">
        <v>6</v>
      </c>
    </row>
    <row r="6" spans="2:13" x14ac:dyDescent="0.35">
      <c r="B6" s="33"/>
      <c r="C6" s="33"/>
      <c r="D6" s="33"/>
      <c r="E6" s="33"/>
    </row>
    <row r="7" spans="2:13" ht="35" customHeight="1" x14ac:dyDescent="0.35">
      <c r="B7" s="50" t="s">
        <v>11</v>
      </c>
      <c r="C7" s="50" t="s">
        <v>46</v>
      </c>
      <c r="D7" s="50" t="s">
        <v>61</v>
      </c>
      <c r="E7" s="50" t="s">
        <v>47</v>
      </c>
    </row>
    <row r="8" spans="2:13" ht="25" customHeight="1" x14ac:dyDescent="0.35">
      <c r="B8" s="51" t="str">
        <f>IF(CompositionBlocs[[#This Row],[Types blocs]]="","",CompositionBlocs[[#This Row],[Types blocs]])</f>
        <v>BlOC BTC 22 cm</v>
      </c>
      <c r="C8" s="52">
        <f>IFERROR(VLOOKUP(DeclarationProd[[#This Row],[Article  / désignation]],CompositionBlocs[],2,FALSE),"")</f>
        <v>12</v>
      </c>
      <c r="D8" s="12">
        <v>20000</v>
      </c>
      <c r="E8" s="52">
        <f>IFERROR(DeclarationProd[[#This Row],[Quantité Produite]]*DeclarationProd[[#This Row],[Poids (kg)]],"")</f>
        <v>240000</v>
      </c>
    </row>
    <row r="9" spans="2:13" ht="25" customHeight="1" x14ac:dyDescent="0.35">
      <c r="B9" s="51" t="str">
        <f>IF(CompositionBlocs[[#This Row],[Types blocs]]="","",CompositionBlocs[[#This Row],[Types blocs]])</f>
        <v>BLOC BTC 18 cm</v>
      </c>
      <c r="C9" s="52">
        <f>IFERROR(VLOOKUP(DeclarationProd[[#This Row],[Article  / désignation]],CompositionBlocs[],2,FALSE),"")</f>
        <v>10</v>
      </c>
      <c r="D9" s="12">
        <v>1500</v>
      </c>
      <c r="E9" s="52">
        <f>IFERROR(DeclarationProd[[#This Row],[Quantité Produite]]*DeclarationProd[[#This Row],[Poids (kg)]],"")</f>
        <v>15000</v>
      </c>
    </row>
    <row r="10" spans="2:13" ht="25" customHeight="1" x14ac:dyDescent="0.35">
      <c r="B10" s="51" t="str">
        <f>IF(CompositionBlocs[[#This Row],[Types blocs]]="","",CompositionBlocs[[#This Row],[Types blocs]])</f>
        <v>BlOC BTC 15 cm</v>
      </c>
      <c r="C10" s="52">
        <f>IFERROR(VLOOKUP(DeclarationProd[[#This Row],[Article  / désignation]],CompositionBlocs[],2,FALSE),"")</f>
        <v>8</v>
      </c>
      <c r="D10" s="12">
        <v>2000</v>
      </c>
      <c r="E10" s="52">
        <f>IFERROR(DeclarationProd[[#This Row],[Quantité Produite]]*DeclarationProd[[#This Row],[Poids (kg)]],"")</f>
        <v>16000</v>
      </c>
    </row>
    <row r="11" spans="2:13" ht="25" customHeight="1" x14ac:dyDescent="0.35">
      <c r="B11" s="51" t="str">
        <f>IF(CompositionBlocs[[#This Row],[Types blocs]]="","",CompositionBlocs[[#This Row],[Types blocs]])</f>
        <v>BLOC spliter 22 cm</v>
      </c>
      <c r="C11" s="52">
        <f>IFERROR(VLOOKUP(DeclarationProd[[#This Row],[Article  / désignation]],CompositionBlocs[],2,FALSE),"")</f>
        <v>12</v>
      </c>
      <c r="D11" s="12">
        <v>5000</v>
      </c>
      <c r="E11" s="52">
        <f>IFERROR(DeclarationProd[[#This Row],[Quantité Produite]]*DeclarationProd[[#This Row],[Poids (kg)]],"")</f>
        <v>60000</v>
      </c>
    </row>
    <row r="12" spans="2:13" ht="25" customHeight="1" x14ac:dyDescent="0.35">
      <c r="B12" s="51" t="str">
        <f>IF(CompositionBlocs[[#This Row],[Types blocs]]="","",CompositionBlocs[[#This Row],[Types blocs]])</f>
        <v>BLOC a conduit 22 cm</v>
      </c>
      <c r="C12" s="52">
        <f>IFERROR(VLOOKUP(DeclarationProd[[#This Row],[Article  / désignation]],CompositionBlocs[],2,FALSE),"")</f>
        <v>12</v>
      </c>
      <c r="D12" s="12">
        <v>6000</v>
      </c>
      <c r="E12" s="52">
        <f>IFERROR(DeclarationProd[[#This Row],[Quantité Produite]]*DeclarationProd[[#This Row],[Poids (kg)]],"")</f>
        <v>72000</v>
      </c>
    </row>
    <row r="13" spans="2:13" ht="25" customHeight="1" x14ac:dyDescent="0.35">
      <c r="B13" s="51" t="str">
        <f>IF(CompositionBlocs[[#This Row],[Types blocs]]="","",CompositionBlocs[[#This Row],[Types blocs]])</f>
        <v>BLOC chaperon 22 cm</v>
      </c>
      <c r="C13" s="52">
        <f>IFERROR(VLOOKUP(DeclarationProd[[#This Row],[Article  / désignation]],CompositionBlocs[],2,FALSE),"")</f>
        <v>9</v>
      </c>
      <c r="D13" s="12"/>
      <c r="E13" s="52">
        <f>IFERROR(DeclarationProd[[#This Row],[Quantité Produite]]*DeclarationProd[[#This Row],[Poids (kg)]],"")</f>
        <v>0</v>
      </c>
    </row>
    <row r="14" spans="2:13" ht="25" customHeight="1" x14ac:dyDescent="0.35">
      <c r="B14" s="51" t="str">
        <f>IF(CompositionBlocs[[#This Row],[Types blocs]]="","",CompositionBlocs[[#This Row],[Types blocs]])</f>
        <v/>
      </c>
      <c r="C14" s="52" t="str">
        <f>IFERROR(VLOOKUP(DeclarationProd[[#This Row],[Article  / désignation]],CompositionBlocs[],2,FALSE),"")</f>
        <v/>
      </c>
      <c r="D14" s="12"/>
      <c r="E14" s="52" t="str">
        <f>IFERROR(DeclarationProd[[#This Row],[Quantité Produite]]*DeclarationProd[[#This Row],[Poids (kg)]],"")</f>
        <v/>
      </c>
    </row>
    <row r="15" spans="2:13" ht="25" customHeight="1" x14ac:dyDescent="0.35">
      <c r="B15" s="51" t="str">
        <f>IF(CompositionBlocs[[#This Row],[Types blocs]]="","",CompositionBlocs[[#This Row],[Types blocs]])</f>
        <v/>
      </c>
      <c r="C15" s="52" t="str">
        <f>IFERROR(VLOOKUP(DeclarationProd[[#This Row],[Article  / désignation]],CompositionBlocs[],2,FALSE),"")</f>
        <v/>
      </c>
      <c r="D15" s="12"/>
      <c r="E15" s="52" t="str">
        <f>IFERROR(DeclarationProd[[#This Row],[Quantité Produite]]*DeclarationProd[[#This Row],[Poids (kg)]],"")</f>
        <v/>
      </c>
    </row>
    <row r="16" spans="2:13" ht="25" customHeight="1" x14ac:dyDescent="0.35">
      <c r="B16" s="51" t="str">
        <f>IF(CompositionBlocs[[#This Row],[Types blocs]]="","",CompositionBlocs[[#This Row],[Types blocs]])</f>
        <v/>
      </c>
      <c r="C16" s="52" t="str">
        <f>IFERROR(VLOOKUP(DeclarationProd[[#This Row],[Article  / désignation]],CompositionBlocs[],2,FALSE),"")</f>
        <v/>
      </c>
      <c r="D16" s="12"/>
      <c r="E16" s="52" t="str">
        <f>IFERROR(DeclarationProd[[#This Row],[Quantité Produite]]*DeclarationProd[[#This Row],[Poids (kg)]],"")</f>
        <v/>
      </c>
    </row>
    <row r="17" spans="2:5" ht="25" customHeight="1" x14ac:dyDescent="0.35">
      <c r="B17" s="51" t="str">
        <f>IF(CompositionBlocs[[#This Row],[Types blocs]]="","",CompositionBlocs[[#This Row],[Types blocs]])</f>
        <v/>
      </c>
      <c r="C17" s="52" t="str">
        <f>IFERROR(VLOOKUP(DeclarationProd[[#This Row],[Article  / désignation]],CompositionBlocs[],2,FALSE),"")</f>
        <v/>
      </c>
      <c r="D17" s="12">
        <v>300</v>
      </c>
      <c r="E17" s="52" t="str">
        <f>IFERROR(DeclarationProd[[#This Row],[Quantité Produite]]*DeclarationProd[[#This Row],[Poids (kg)]],"")</f>
        <v/>
      </c>
    </row>
    <row r="18" spans="2:5" ht="25" customHeight="1" x14ac:dyDescent="0.35">
      <c r="B18" s="51" t="str">
        <f>IF(CompositionBlocs[[#This Row],[Types blocs]]="","",CompositionBlocs[[#This Row],[Types blocs]])</f>
        <v/>
      </c>
      <c r="C18" s="52" t="str">
        <f>IFERROR(VLOOKUP(DeclarationProd[[#This Row],[Article  / désignation]],CompositionBlocs[],2,FALSE),"")</f>
        <v/>
      </c>
      <c r="D18" s="12"/>
      <c r="E18" s="52" t="str">
        <f>IFERROR(DeclarationProd[[#This Row],[Quantité Produite]]*DeclarationProd[[#This Row],[Poids (kg)]],"")</f>
        <v/>
      </c>
    </row>
    <row r="19" spans="2:5" ht="25" customHeight="1" x14ac:dyDescent="0.35">
      <c r="B19" s="51" t="str">
        <f>IF(CompositionBlocs[[#This Row],[Types blocs]]="","",CompositionBlocs[[#This Row],[Types blocs]])</f>
        <v/>
      </c>
      <c r="C19" s="52" t="str">
        <f>IFERROR(VLOOKUP(DeclarationProd[[#This Row],[Article  / désignation]],CompositionBlocs[],2,FALSE),"")</f>
        <v/>
      </c>
      <c r="D19" s="12"/>
      <c r="E19" s="52" t="str">
        <f>IFERROR(DeclarationProd[[#This Row],[Quantité Produite]]*DeclarationProd[[#This Row],[Poids (kg)]],"")</f>
        <v/>
      </c>
    </row>
    <row r="20" spans="2:5" ht="25" customHeight="1" x14ac:dyDescent="0.35">
      <c r="B20" s="51" t="str">
        <f>IF(CompositionBlocs[[#This Row],[Types blocs]]="","",CompositionBlocs[[#This Row],[Types blocs]])</f>
        <v/>
      </c>
      <c r="C20" s="52" t="str">
        <f>IFERROR(VLOOKUP(DeclarationProd[[#This Row],[Article  / désignation]],CompositionBlocs[],2,FALSE),"")</f>
        <v/>
      </c>
      <c r="D20" s="12"/>
      <c r="E20" s="52" t="str">
        <f>IFERROR(DeclarationProd[[#This Row],[Quantité Produite]]*DeclarationProd[[#This Row],[Poids (kg)]],"")</f>
        <v/>
      </c>
    </row>
    <row r="21" spans="2:5" ht="25" customHeight="1" x14ac:dyDescent="0.35">
      <c r="B21" s="51" t="str">
        <f>IF(CompositionBlocs[[#This Row],[Types blocs]]="","",CompositionBlocs[[#This Row],[Types blocs]])</f>
        <v/>
      </c>
      <c r="C21" s="52" t="str">
        <f>IFERROR(VLOOKUP(DeclarationProd[[#This Row],[Article  / désignation]],CompositionBlocs[],2,FALSE),"")</f>
        <v/>
      </c>
      <c r="D21" s="12"/>
      <c r="E21" s="52" t="str">
        <f>IFERROR(DeclarationProd[[#This Row],[Quantité Produite]]*DeclarationProd[[#This Row],[Poids (kg)]],"")</f>
        <v/>
      </c>
    </row>
    <row r="22" spans="2:5" ht="25" customHeight="1" x14ac:dyDescent="0.35">
      <c r="B22" s="51" t="str">
        <f>IF(CompositionBlocs[[#This Row],[Types blocs]]="","",CompositionBlocs[[#This Row],[Types blocs]])</f>
        <v/>
      </c>
      <c r="C22" s="52" t="str">
        <f>IFERROR(VLOOKUP(DeclarationProd[[#This Row],[Article  / désignation]],CompositionBlocs[],2,FALSE),"")</f>
        <v/>
      </c>
      <c r="D22" s="12"/>
      <c r="E22" s="52" t="str">
        <f>IFERROR(DeclarationProd[[#This Row],[Quantité Produite]]*DeclarationProd[[#This Row],[Poids (kg)]],"")</f>
        <v/>
      </c>
    </row>
    <row r="23" spans="2:5" ht="25" customHeight="1" x14ac:dyDescent="0.35">
      <c r="B23" s="51" t="str">
        <f>IF(CompositionBlocs[[#This Row],[Types blocs]]="","",CompositionBlocs[[#This Row],[Types blocs]])</f>
        <v/>
      </c>
      <c r="C23" s="52" t="str">
        <f>IFERROR(VLOOKUP(DeclarationProd[[#This Row],[Article  / désignation]],CompositionBlocs[],2,FALSE),"")</f>
        <v/>
      </c>
      <c r="D23" s="12"/>
      <c r="E23" s="52" t="str">
        <f>IFERROR(DeclarationProd[[#This Row],[Quantité Produite]]*DeclarationProd[[#This Row],[Poids (kg)]],"")</f>
        <v/>
      </c>
    </row>
    <row r="24" spans="2:5" ht="25" customHeight="1" x14ac:dyDescent="0.35">
      <c r="B24" s="51" t="str">
        <f>IF(CompositionBlocs[[#This Row],[Types blocs]]="","",CompositionBlocs[[#This Row],[Types blocs]])</f>
        <v/>
      </c>
      <c r="C24" s="52" t="str">
        <f>IFERROR(VLOOKUP(DeclarationProd[[#This Row],[Article  / désignation]],CompositionBlocs[],2,FALSE),"")</f>
        <v/>
      </c>
      <c r="D24" s="12"/>
      <c r="E24" s="52" t="str">
        <f>IFERROR(DeclarationProd[[#This Row],[Quantité Produite]]*DeclarationProd[[#This Row],[Poids (kg)]],"")</f>
        <v/>
      </c>
    </row>
    <row r="25" spans="2:5" ht="25" customHeight="1" x14ac:dyDescent="0.35">
      <c r="B25" s="51" t="str">
        <f>IF(CompositionBlocs[[#This Row],[Types blocs]]="","",CompositionBlocs[[#This Row],[Types blocs]])</f>
        <v/>
      </c>
      <c r="C25" s="52" t="str">
        <f>IFERROR(VLOOKUP(DeclarationProd[[#This Row],[Article  / désignation]],CompositionBlocs[],2,FALSE),"")</f>
        <v/>
      </c>
      <c r="D25" s="12"/>
      <c r="E25" s="52" t="str">
        <f>IFERROR(DeclarationProd[[#This Row],[Quantité Produite]]*DeclarationProd[[#This Row],[Poids (kg)]],"")</f>
        <v/>
      </c>
    </row>
    <row r="26" spans="2:5" ht="25" customHeight="1" x14ac:dyDescent="0.35">
      <c r="B26" s="51" t="str">
        <f>IF(CompositionBlocs[[#This Row],[Types blocs]]="","",CompositionBlocs[[#This Row],[Types blocs]])</f>
        <v/>
      </c>
      <c r="C26" s="52" t="str">
        <f>IFERROR(VLOOKUP(DeclarationProd[[#This Row],[Article  / désignation]],CompositionBlocs[],2,FALSE),"")</f>
        <v/>
      </c>
      <c r="D26" s="12"/>
      <c r="E26" s="52" t="str">
        <f>IFERROR(DeclarationProd[[#This Row],[Quantité Produite]]*DeclarationProd[[#This Row],[Poids (kg)]],"")</f>
        <v/>
      </c>
    </row>
    <row r="27" spans="2:5" ht="25" customHeight="1" x14ac:dyDescent="0.35">
      <c r="B27" s="51" t="str">
        <f>IF(CompositionBlocs[[#This Row],[Types blocs]]="","",CompositionBlocs[[#This Row],[Types blocs]])</f>
        <v/>
      </c>
      <c r="C27" s="52" t="str">
        <f>IFERROR(VLOOKUP(DeclarationProd[[#This Row],[Article  / désignation]],CompositionBlocs[],2,FALSE),"")</f>
        <v/>
      </c>
      <c r="D27" s="12"/>
      <c r="E27" s="52" t="str">
        <f>IFERROR(DeclarationProd[[#This Row],[Quantité Produite]]*DeclarationProd[[#This Row],[Poids (kg)]],"")</f>
        <v/>
      </c>
    </row>
    <row r="28" spans="2:5" ht="25" customHeight="1" x14ac:dyDescent="0.35">
      <c r="B28" s="51" t="str">
        <f>IF(CompositionBlocs[[#This Row],[Types blocs]]="","",CompositionBlocs[[#This Row],[Types blocs]])</f>
        <v/>
      </c>
      <c r="C28" s="52" t="str">
        <f>IFERROR(VLOOKUP(DeclarationProd[[#This Row],[Article  / désignation]],CompositionBlocs[],2,FALSE),"")</f>
        <v/>
      </c>
      <c r="D28" s="12"/>
      <c r="E28" s="52" t="str">
        <f>IFERROR(DeclarationProd[[#This Row],[Quantité Produite]]*DeclarationProd[[#This Row],[Poids (kg)]],"")</f>
        <v/>
      </c>
    </row>
  </sheetData>
  <sheetProtection algorithmName="SHA-512" hashValue="D7K1XeYPmuIxvGUdqUGtLVwN6LY2H7YamYiCYIfeiLKa/C1c2rTtZSCT4C+XARV6Qs8PUOb4jbEu+PSbG6R6xA==" saltValue="cFpew9bL0Idg/McknYJ1aA==" spinCount="100000" sheet="1" sort="0" autoFilter="0" pivotTables="0"/>
  <mergeCells count="1">
    <mergeCell ref="B1:M1"/>
  </mergeCell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8"/>
  <sheetViews>
    <sheetView showGridLines="0" zoomScale="80" zoomScaleNormal="80" workbookViewId="0">
      <pane ySplit="7" topLeftCell="A8" activePane="bottomLeft" state="frozen"/>
      <selection activeCell="B1" sqref="B1:Q1"/>
      <selection pane="bottomLeft" activeCell="B1" sqref="B1:M1"/>
    </sheetView>
  </sheetViews>
  <sheetFormatPr baseColWidth="10" defaultColWidth="8.7265625" defaultRowHeight="18.5" x14ac:dyDescent="0.35"/>
  <cols>
    <col min="1" max="1" width="8.7265625" style="21"/>
    <col min="2" max="2" width="20.6328125" style="46" customWidth="1"/>
    <col min="3" max="3" width="12.6328125" style="46" customWidth="1"/>
    <col min="4" max="5" width="18.6328125" style="46" customWidth="1"/>
    <col min="6" max="7" width="18.6328125" style="21" customWidth="1"/>
    <col min="8" max="8" width="5.6328125" style="21" customWidth="1"/>
    <col min="9" max="9" width="20.6328125" style="21" customWidth="1"/>
    <col min="10" max="11" width="18.6328125" style="21" customWidth="1"/>
    <col min="12" max="12" width="18.6328125" customWidth="1"/>
    <col min="13" max="15" width="12.6328125" customWidth="1"/>
  </cols>
  <sheetData>
    <row r="1" spans="2:13" ht="56.5" customHeight="1" x14ac:dyDescent="0.35">
      <c r="B1" s="73" t="s">
        <v>76</v>
      </c>
      <c r="C1" s="73"/>
      <c r="D1" s="73"/>
      <c r="E1" s="73"/>
      <c r="F1" s="73"/>
      <c r="G1" s="73"/>
      <c r="H1" s="73"/>
      <c r="I1" s="73"/>
      <c r="J1" s="73"/>
      <c r="K1" s="73"/>
      <c r="L1" s="73"/>
      <c r="M1" s="73"/>
    </row>
    <row r="2" spans="2:13" ht="8" customHeight="1" x14ac:dyDescent="0.35">
      <c r="B2" s="22"/>
      <c r="C2" s="22"/>
      <c r="D2" s="22"/>
      <c r="E2" s="22"/>
    </row>
    <row r="3" spans="2:13" x14ac:dyDescent="0.35">
      <c r="B3" s="22"/>
      <c r="C3" s="22"/>
      <c r="D3" s="22"/>
      <c r="E3" s="22"/>
    </row>
    <row r="4" spans="2:13" x14ac:dyDescent="0.35">
      <c r="B4" s="47" t="s">
        <v>80</v>
      </c>
      <c r="C4" s="47"/>
      <c r="D4" s="53">
        <f>SUM(DeclarationConso[Coût surconsommation],DeclarationConso8[Coût total])</f>
        <v>597.73260504201687</v>
      </c>
      <c r="E4" s="33"/>
    </row>
    <row r="5" spans="2:13" x14ac:dyDescent="0.35">
      <c r="B5" s="33"/>
      <c r="C5" s="33"/>
      <c r="D5" s="33"/>
      <c r="E5" s="33"/>
    </row>
    <row r="6" spans="2:13" x14ac:dyDescent="0.35">
      <c r="B6" s="74" t="s">
        <v>112</v>
      </c>
      <c r="C6" s="74"/>
      <c r="D6" s="74"/>
      <c r="E6" s="74"/>
      <c r="F6" s="74"/>
      <c r="G6" s="74"/>
      <c r="I6" s="74" t="s">
        <v>111</v>
      </c>
      <c r="J6" s="74"/>
      <c r="K6" s="74"/>
      <c r="L6" s="74"/>
    </row>
    <row r="7" spans="2:13" ht="35" customHeight="1" x14ac:dyDescent="0.35">
      <c r="B7" s="50" t="s">
        <v>11</v>
      </c>
      <c r="C7" s="50" t="s">
        <v>3</v>
      </c>
      <c r="D7" s="50" t="s">
        <v>82</v>
      </c>
      <c r="E7" s="50" t="s">
        <v>77</v>
      </c>
      <c r="F7" s="54" t="s">
        <v>78</v>
      </c>
      <c r="G7" s="54" t="s">
        <v>79</v>
      </c>
      <c r="I7" s="50" t="s">
        <v>11</v>
      </c>
      <c r="J7" s="50" t="s">
        <v>113</v>
      </c>
      <c r="K7" s="54" t="s">
        <v>114</v>
      </c>
      <c r="L7" s="54" t="s">
        <v>115</v>
      </c>
    </row>
    <row r="8" spans="2:13" ht="25" customHeight="1" x14ac:dyDescent="0.35">
      <c r="B8" s="51" t="str">
        <f>IF('Paramétrage Matières'!B7="","",'Paramétrage Matières'!B7)</f>
        <v>Terre</v>
      </c>
      <c r="C8" s="52" t="str">
        <f>IFERROR(VLOOKUP(DeclarationConso[[#This Row],[Article  / désignation]],ParametrageMat[],3,FALSE),"")</f>
        <v>Kg</v>
      </c>
      <c r="D8" s="12">
        <v>400000</v>
      </c>
      <c r="E8" s="55">
        <f>SUM(SuiviCouts[Terre (kg)])</f>
        <v>374790</v>
      </c>
      <c r="F8" s="56">
        <f>IF(DeclarationConso[[#This Row],[Consommation réelle]]="","",DeclarationConso[[#This Row],[Consommation réelle]]-SUM(SuiviCouts[Terre (kg)]))</f>
        <v>25210</v>
      </c>
      <c r="G8" s="57">
        <f>IFERROR(DeclarationConso[[#This Row],[Surconsommation]]*VLOOKUP(DeclarationConso[[#This Row],[Article  / désignation]],ParametrageMat[],6,FALSE),"")</f>
        <v>222.44117647058823</v>
      </c>
      <c r="I8" s="66"/>
      <c r="J8" s="67"/>
      <c r="K8" s="68"/>
      <c r="L8" s="57" t="str">
        <f>IF(DeclarationConso8[[#This Row],[Article  / désignation]]="","",DeclarationConso8[[#This Row],[Quantité consommée]]*DeclarationConso8[[#This Row],[Prix unitaire]])</f>
        <v/>
      </c>
    </row>
    <row r="9" spans="2:13" ht="25" customHeight="1" x14ac:dyDescent="0.35">
      <c r="B9" s="51" t="str">
        <f>IF('Paramétrage Matières'!B8="","",'Paramétrage Matières'!B8)</f>
        <v>Ciment</v>
      </c>
      <c r="C9" s="52" t="str">
        <f>IFERROR(VLOOKUP(DeclarationConso[[#This Row],[Article  / désignation]],ParametrageMat[],3,FALSE),"")</f>
        <v>Kg</v>
      </c>
      <c r="D9" s="12">
        <v>29059</v>
      </c>
      <c r="E9" s="55">
        <f>SUM(SuiviCouts[Ciment (kg)])</f>
        <v>28210</v>
      </c>
      <c r="F9" s="56">
        <f>IF(DeclarationConso[[#This Row],[Consommation réelle]]="","",DeclarationConso[[#This Row],[Consommation réelle]]-SUM(SuiviCouts[Ciment (kg)]))</f>
        <v>849</v>
      </c>
      <c r="G9" s="57">
        <f>IFERROR(DeclarationConso[[#This Row],[Surconsommation]]*VLOOKUP(DeclarationConso[[#This Row],[Article  / désignation]],ParametrageMat[],6,FALSE),"")</f>
        <v>237.72000000000003</v>
      </c>
      <c r="I9" s="66"/>
      <c r="J9" s="67"/>
      <c r="K9" s="68"/>
      <c r="L9" s="57" t="str">
        <f>IF(DeclarationConso8[[#This Row],[Article  / désignation]]="","",DeclarationConso8[[#This Row],[Quantité consommée]]*DeclarationConso8[[#This Row],[Prix unitaire]])</f>
        <v/>
      </c>
    </row>
    <row r="10" spans="2:13" ht="25" customHeight="1" x14ac:dyDescent="0.35">
      <c r="B10" s="51" t="str">
        <f>IF('Paramétrage Matières'!B9="","",'Paramétrage Matières'!B9)</f>
        <v>Palette</v>
      </c>
      <c r="C10" s="52" t="str">
        <f>IFERROR(VLOOKUP(DeclarationConso[[#This Row],[Article  / désignation]],ParametrageMat[],3,FALSE),"")</f>
        <v>Unité</v>
      </c>
      <c r="D10" s="12">
        <v>260</v>
      </c>
      <c r="E10" s="55">
        <f>SUM(SuiviCouts[Nombre de palettes])</f>
        <v>248</v>
      </c>
      <c r="F10" s="56">
        <f>IF(DeclarationConso[[#This Row],[Consommation réelle]]="","",DeclarationConso[[#This Row],[Consommation réelle]]-SUM(SuiviCouts[Nombre de palettes]))</f>
        <v>12</v>
      </c>
      <c r="G10" s="57">
        <f>IFERROR(DeclarationConso[[#This Row],[Surconsommation]]*VLOOKUP(DeclarationConso[[#This Row],[Article  / désignation]],ParametrageMat[],6,FALSE),"")</f>
        <v>84</v>
      </c>
      <c r="I10" s="66"/>
      <c r="J10" s="67"/>
      <c r="K10" s="68"/>
      <c r="L10" s="57" t="str">
        <f>IF(DeclarationConso8[[#This Row],[Article  / désignation]]="","",DeclarationConso8[[#This Row],[Quantité consommée]]*DeclarationConso8[[#This Row],[Prix unitaire]])</f>
        <v/>
      </c>
    </row>
    <row r="11" spans="2:13" ht="25" customHeight="1" x14ac:dyDescent="0.35">
      <c r="B11" s="51" t="str">
        <f>IF('Paramétrage Matières'!B10="","",'Paramétrage Matières'!B10)</f>
        <v>Bande de cerclage</v>
      </c>
      <c r="C11" s="52" t="str">
        <f>IFERROR(VLOOKUP(DeclarationConso[[#This Row],[Article  / désignation]],ParametrageMat[],3,FALSE),"")</f>
        <v>m</v>
      </c>
      <c r="D11" s="12">
        <v>3000</v>
      </c>
      <c r="E11" s="55">
        <f>SUM(SuiviCouts[Bande de cerclage (m)])</f>
        <v>2464.2857142857142</v>
      </c>
      <c r="F11" s="56">
        <f>IF(DeclarationConso[[#This Row],[Consommation réelle]]="","",DeclarationConso[[#This Row],[Consommation réelle]]-SUM(SuiviCouts[Bande de cerclage (m)]))</f>
        <v>535.71428571428578</v>
      </c>
      <c r="G11" s="57">
        <f>IFERROR(DeclarationConso[[#This Row],[Surconsommation]]*VLOOKUP(DeclarationConso[[#This Row],[Article  / désignation]],ParametrageMat[],6,FALSE),"")</f>
        <v>53.571428571428584</v>
      </c>
      <c r="I11" s="66"/>
      <c r="J11" s="67"/>
      <c r="K11" s="68"/>
      <c r="L11" s="57" t="str">
        <f>IF(DeclarationConso8[[#This Row],[Article  / désignation]]="","",DeclarationConso8[[#This Row],[Quantité consommée]]*DeclarationConso8[[#This Row],[Prix unitaire]])</f>
        <v/>
      </c>
    </row>
    <row r="12" spans="2:13" ht="25" customHeight="1" x14ac:dyDescent="0.35">
      <c r="B12" s="51" t="str">
        <f>IF('Paramétrage Matières'!B11="","",'Paramétrage Matières'!B11)</f>
        <v/>
      </c>
      <c r="C12" s="52" t="str">
        <f>IFERROR(VLOOKUP(DeclarationConso[[#This Row],[Article  / désignation]],ParametrageMat[],3,FALSE),"")</f>
        <v/>
      </c>
      <c r="D12" s="12"/>
      <c r="E12" s="55" t="str">
        <f>IFERROR(DeclarationConso[[#This Row],[Consommation réelle]]*DeclarationConso[[#This Row],[Unité]],"")</f>
        <v/>
      </c>
      <c r="F12" s="56"/>
      <c r="G12" s="57" t="str">
        <f>IFERROR(DeclarationConso[[#This Row],[Surconsommation]]*VLOOKUP(DeclarationConso[[#This Row],[Article  / désignation]],ParametrageMat[],6,FALSE),"")</f>
        <v/>
      </c>
      <c r="I12" s="66"/>
      <c r="J12" s="67"/>
      <c r="K12" s="68"/>
      <c r="L12" s="57" t="str">
        <f>IF(DeclarationConso8[[#This Row],[Article  / désignation]]="","",DeclarationConso8[[#This Row],[Quantité consommée]]*DeclarationConso8[[#This Row],[Prix unitaire]])</f>
        <v/>
      </c>
    </row>
    <row r="13" spans="2:13" ht="25" customHeight="1" x14ac:dyDescent="0.35">
      <c r="B13" s="51" t="str">
        <f>IF('Paramétrage Matières'!B12="","",'Paramétrage Matières'!B12)</f>
        <v/>
      </c>
      <c r="C13" s="52" t="str">
        <f>IFERROR(VLOOKUP(DeclarationConso[[#This Row],[Article  / désignation]],ParametrageMat[],3,FALSE),"")</f>
        <v/>
      </c>
      <c r="D13" s="12"/>
      <c r="E13" s="55" t="str">
        <f>IFERROR(DeclarationConso[[#This Row],[Consommation réelle]]*DeclarationConso[[#This Row],[Unité]],"")</f>
        <v/>
      </c>
      <c r="F13" s="56"/>
      <c r="G13" s="57" t="str">
        <f>IFERROR(DeclarationConso[[#This Row],[Surconsommation]]*VLOOKUP(DeclarationConso[[#This Row],[Article  / désignation]],ParametrageMat[],6,FALSE),"")</f>
        <v/>
      </c>
      <c r="I13" s="66"/>
      <c r="J13" s="67"/>
      <c r="K13" s="68"/>
      <c r="L13" s="57" t="str">
        <f>IF(DeclarationConso8[[#This Row],[Article  / désignation]]="","",DeclarationConso8[[#This Row],[Quantité consommée]]*DeclarationConso8[[#This Row],[Prix unitaire]])</f>
        <v/>
      </c>
    </row>
    <row r="14" spans="2:13" ht="25" customHeight="1" x14ac:dyDescent="0.35">
      <c r="B14" s="51" t="str">
        <f>IF('Paramétrage Matières'!B13="","",'Paramétrage Matières'!B13)</f>
        <v/>
      </c>
      <c r="C14" s="52" t="str">
        <f>IFERROR(VLOOKUP(DeclarationConso[[#This Row],[Article  / désignation]],ParametrageMat[],3,FALSE),"")</f>
        <v/>
      </c>
      <c r="D14" s="12"/>
      <c r="E14" s="55" t="str">
        <f>IFERROR(DeclarationConso[[#This Row],[Consommation réelle]]*DeclarationConso[[#This Row],[Unité]],"")</f>
        <v/>
      </c>
      <c r="F14" s="56"/>
      <c r="G14" s="57" t="str">
        <f>IFERROR(DeclarationConso[[#This Row],[Surconsommation]]*VLOOKUP(DeclarationConso[[#This Row],[Article  / désignation]],ParametrageMat[],6,FALSE),"")</f>
        <v/>
      </c>
      <c r="I14" s="66"/>
      <c r="J14" s="67"/>
      <c r="K14" s="68"/>
      <c r="L14" s="57" t="str">
        <f>IF(DeclarationConso8[[#This Row],[Article  / désignation]]="","",DeclarationConso8[[#This Row],[Quantité consommée]]*DeclarationConso8[[#This Row],[Prix unitaire]])</f>
        <v/>
      </c>
    </row>
    <row r="15" spans="2:13" ht="25" customHeight="1" x14ac:dyDescent="0.35">
      <c r="B15" s="51" t="str">
        <f>IF('Paramétrage Matières'!B14="","",'Paramétrage Matières'!B14)</f>
        <v/>
      </c>
      <c r="C15" s="52" t="str">
        <f>IFERROR(VLOOKUP(DeclarationConso[[#This Row],[Article  / désignation]],ParametrageMat[],3,FALSE),"")</f>
        <v/>
      </c>
      <c r="D15" s="12"/>
      <c r="E15" s="55" t="str">
        <f>IFERROR(DeclarationConso[[#This Row],[Consommation réelle]]*DeclarationConso[[#This Row],[Unité]],"")</f>
        <v/>
      </c>
      <c r="F15" s="56"/>
      <c r="G15" s="57" t="str">
        <f>IFERROR(DeclarationConso[[#This Row],[Surconsommation]]*VLOOKUP(DeclarationConso[[#This Row],[Article  / désignation]],ParametrageMat[],6,FALSE),"")</f>
        <v/>
      </c>
      <c r="I15" s="66"/>
      <c r="J15" s="67"/>
      <c r="K15" s="68"/>
      <c r="L15" s="57" t="str">
        <f>IF(DeclarationConso8[[#This Row],[Article  / désignation]]="","",DeclarationConso8[[#This Row],[Quantité consommée]]*DeclarationConso8[[#This Row],[Prix unitaire]])</f>
        <v/>
      </c>
    </row>
    <row r="16" spans="2:13" ht="25" customHeight="1" x14ac:dyDescent="0.35">
      <c r="B16" s="51" t="str">
        <f>IF('Paramétrage Matières'!B15="","",'Paramétrage Matières'!B15)</f>
        <v/>
      </c>
      <c r="C16" s="52" t="str">
        <f>IFERROR(VLOOKUP(DeclarationConso[[#This Row],[Article  / désignation]],ParametrageMat[],3,FALSE),"")</f>
        <v/>
      </c>
      <c r="D16" s="12"/>
      <c r="E16" s="55" t="str">
        <f>IFERROR(DeclarationConso[[#This Row],[Consommation réelle]]*DeclarationConso[[#This Row],[Unité]],"")</f>
        <v/>
      </c>
      <c r="F16" s="56"/>
      <c r="G16" s="57" t="str">
        <f>IFERROR(DeclarationConso[[#This Row],[Surconsommation]]*VLOOKUP(DeclarationConso[[#This Row],[Article  / désignation]],ParametrageMat[],6,FALSE),"")</f>
        <v/>
      </c>
      <c r="I16" s="66"/>
      <c r="J16" s="67"/>
      <c r="K16" s="68"/>
      <c r="L16" s="57" t="str">
        <f>IF(DeclarationConso8[[#This Row],[Article  / désignation]]="","",DeclarationConso8[[#This Row],[Quantité consommée]]*DeclarationConso8[[#This Row],[Prix unitaire]])</f>
        <v/>
      </c>
    </row>
    <row r="17" spans="2:12" ht="25" customHeight="1" x14ac:dyDescent="0.35">
      <c r="B17" s="51" t="str">
        <f>IF('Paramétrage Matières'!B16="","",'Paramétrage Matières'!B16)</f>
        <v/>
      </c>
      <c r="C17" s="52" t="str">
        <f>IFERROR(VLOOKUP(DeclarationConso[[#This Row],[Article  / désignation]],ParametrageMat[],3,FALSE),"")</f>
        <v/>
      </c>
      <c r="D17" s="12"/>
      <c r="E17" s="55" t="str">
        <f>IFERROR(DeclarationConso[[#This Row],[Consommation réelle]]*DeclarationConso[[#This Row],[Unité]],"")</f>
        <v/>
      </c>
      <c r="F17" s="56"/>
      <c r="G17" s="57" t="str">
        <f>IFERROR(DeclarationConso[[#This Row],[Surconsommation]]*VLOOKUP(DeclarationConso[[#This Row],[Article  / désignation]],ParametrageMat[],6,FALSE),"")</f>
        <v/>
      </c>
      <c r="I17" s="66"/>
      <c r="J17" s="67"/>
      <c r="K17" s="68"/>
      <c r="L17" s="57" t="str">
        <f>IF(DeclarationConso8[[#This Row],[Article  / désignation]]="","",DeclarationConso8[[#This Row],[Quantité consommée]]*DeclarationConso8[[#This Row],[Prix unitaire]])</f>
        <v/>
      </c>
    </row>
    <row r="18" spans="2:12" ht="25" customHeight="1" x14ac:dyDescent="0.35">
      <c r="B18" s="51" t="str">
        <f>IF('Paramétrage Matières'!B17="","",'Paramétrage Matières'!B17)</f>
        <v/>
      </c>
      <c r="C18" s="52" t="str">
        <f>IFERROR(VLOOKUP(DeclarationConso[[#This Row],[Article  / désignation]],ParametrageMat[],3,FALSE),"")</f>
        <v/>
      </c>
      <c r="D18" s="12"/>
      <c r="E18" s="55" t="str">
        <f>IFERROR(DeclarationConso[[#This Row],[Consommation réelle]]*DeclarationConso[[#This Row],[Unité]],"")</f>
        <v/>
      </c>
      <c r="F18" s="56"/>
      <c r="G18" s="57" t="str">
        <f>IFERROR(DeclarationConso[[#This Row],[Surconsommation]]*VLOOKUP(DeclarationConso[[#This Row],[Article  / désignation]],ParametrageMat[],6,FALSE),"")</f>
        <v/>
      </c>
      <c r="I18" s="66"/>
      <c r="J18" s="67"/>
      <c r="K18" s="68"/>
      <c r="L18" s="57" t="str">
        <f>IF(DeclarationConso8[[#This Row],[Article  / désignation]]="","",DeclarationConso8[[#This Row],[Quantité consommée]]*DeclarationConso8[[#This Row],[Prix unitaire]])</f>
        <v/>
      </c>
    </row>
    <row r="19" spans="2:12" ht="25" customHeight="1" x14ac:dyDescent="0.35">
      <c r="B19" s="51" t="str">
        <f>IF('Paramétrage Matières'!B18="","",'Paramétrage Matières'!B18)</f>
        <v/>
      </c>
      <c r="C19" s="52" t="str">
        <f>IFERROR(VLOOKUP(DeclarationConso[[#This Row],[Article  / désignation]],ParametrageMat[],3,FALSE),"")</f>
        <v/>
      </c>
      <c r="D19" s="12"/>
      <c r="E19" s="55" t="str">
        <f>IFERROR(DeclarationConso[[#This Row],[Consommation réelle]]*DeclarationConso[[#This Row],[Unité]],"")</f>
        <v/>
      </c>
      <c r="F19" s="56"/>
      <c r="G19" s="57" t="str">
        <f>IFERROR(DeclarationConso[[#This Row],[Surconsommation]]*VLOOKUP(DeclarationConso[[#This Row],[Article  / désignation]],ParametrageMat[],6,FALSE),"")</f>
        <v/>
      </c>
      <c r="I19" s="66"/>
      <c r="J19" s="67"/>
      <c r="K19" s="68"/>
      <c r="L19" s="57" t="str">
        <f>IF(DeclarationConso8[[#This Row],[Article  / désignation]]="","",DeclarationConso8[[#This Row],[Quantité consommée]]*DeclarationConso8[[#This Row],[Prix unitaire]])</f>
        <v/>
      </c>
    </row>
    <row r="20" spans="2:12" ht="25" customHeight="1" x14ac:dyDescent="0.35">
      <c r="B20" s="51" t="str">
        <f>IF('Paramétrage Matières'!B19="","",'Paramétrage Matières'!B19)</f>
        <v/>
      </c>
      <c r="C20" s="52" t="str">
        <f>IFERROR(VLOOKUP(DeclarationConso[[#This Row],[Article  / désignation]],ParametrageMat[],3,FALSE),"")</f>
        <v/>
      </c>
      <c r="D20" s="12"/>
      <c r="E20" s="55" t="str">
        <f>IFERROR(DeclarationConso[[#This Row],[Consommation réelle]]*DeclarationConso[[#This Row],[Unité]],"")</f>
        <v/>
      </c>
      <c r="F20" s="56"/>
      <c r="G20" s="57" t="str">
        <f>IFERROR(DeclarationConso[[#This Row],[Surconsommation]]*VLOOKUP(DeclarationConso[[#This Row],[Article  / désignation]],ParametrageMat[],6,FALSE),"")</f>
        <v/>
      </c>
      <c r="I20" s="66"/>
      <c r="J20" s="67"/>
      <c r="K20" s="68"/>
      <c r="L20" s="57" t="str">
        <f>IF(DeclarationConso8[[#This Row],[Article  / désignation]]="","",DeclarationConso8[[#This Row],[Quantité consommée]]*DeclarationConso8[[#This Row],[Prix unitaire]])</f>
        <v/>
      </c>
    </row>
    <row r="21" spans="2:12" ht="25" customHeight="1" x14ac:dyDescent="0.35">
      <c r="B21" s="51" t="str">
        <f>IF('Paramétrage Matières'!B20="","",'Paramétrage Matières'!B20)</f>
        <v/>
      </c>
      <c r="C21" s="52" t="str">
        <f>IFERROR(VLOOKUP(DeclarationConso[[#This Row],[Article  / désignation]],ParametrageMat[],3,FALSE),"")</f>
        <v/>
      </c>
      <c r="D21" s="12"/>
      <c r="E21" s="55" t="str">
        <f>IFERROR(DeclarationConso[[#This Row],[Consommation réelle]]*DeclarationConso[[#This Row],[Unité]],"")</f>
        <v/>
      </c>
      <c r="F21" s="56"/>
      <c r="G21" s="57" t="str">
        <f>IFERROR(DeclarationConso[[#This Row],[Surconsommation]]*VLOOKUP(DeclarationConso[[#This Row],[Article  / désignation]],ParametrageMat[],6,FALSE),"")</f>
        <v/>
      </c>
      <c r="I21" s="66"/>
      <c r="J21" s="67"/>
      <c r="K21" s="68"/>
      <c r="L21" s="57" t="str">
        <f>IF(DeclarationConso8[[#This Row],[Article  / désignation]]="","",DeclarationConso8[[#This Row],[Quantité consommée]]*DeclarationConso8[[#This Row],[Prix unitaire]])</f>
        <v/>
      </c>
    </row>
    <row r="22" spans="2:12" ht="25" customHeight="1" x14ac:dyDescent="0.35">
      <c r="B22" s="51" t="str">
        <f>IF('Paramétrage Matières'!B21="","",'Paramétrage Matières'!B21)</f>
        <v/>
      </c>
      <c r="C22" s="52" t="str">
        <f>IFERROR(VLOOKUP(DeclarationConso[[#This Row],[Article  / désignation]],ParametrageMat[],3,FALSE),"")</f>
        <v/>
      </c>
      <c r="D22" s="12"/>
      <c r="E22" s="55" t="str">
        <f>IFERROR(DeclarationConso[[#This Row],[Consommation réelle]]*DeclarationConso[[#This Row],[Unité]],"")</f>
        <v/>
      </c>
      <c r="F22" s="56"/>
      <c r="G22" s="57" t="str">
        <f>IFERROR(DeclarationConso[[#This Row],[Surconsommation]]*VLOOKUP(DeclarationConso[[#This Row],[Article  / désignation]],ParametrageMat[],6,FALSE),"")</f>
        <v/>
      </c>
      <c r="I22" s="66"/>
      <c r="J22" s="67"/>
      <c r="K22" s="68"/>
      <c r="L22" s="57" t="str">
        <f>IF(DeclarationConso8[[#This Row],[Article  / désignation]]="","",DeclarationConso8[[#This Row],[Quantité consommée]]*DeclarationConso8[[#This Row],[Prix unitaire]])</f>
        <v/>
      </c>
    </row>
    <row r="23" spans="2:12" ht="25" customHeight="1" x14ac:dyDescent="0.35">
      <c r="B23" s="51" t="str">
        <f>IF('Paramétrage Matières'!B22="","",'Paramétrage Matières'!B22)</f>
        <v/>
      </c>
      <c r="C23" s="52" t="str">
        <f>IFERROR(VLOOKUP(DeclarationConso[[#This Row],[Article  / désignation]],ParametrageMat[],3,FALSE),"")</f>
        <v/>
      </c>
      <c r="D23" s="12"/>
      <c r="E23" s="55" t="str">
        <f>IFERROR(DeclarationConso[[#This Row],[Consommation réelle]]*DeclarationConso[[#This Row],[Unité]],"")</f>
        <v/>
      </c>
      <c r="F23" s="56"/>
      <c r="G23" s="57" t="str">
        <f>IFERROR(DeclarationConso[[#This Row],[Surconsommation]]*VLOOKUP(DeclarationConso[[#This Row],[Article  / désignation]],ParametrageMat[],6,FALSE),"")</f>
        <v/>
      </c>
      <c r="I23" s="66"/>
      <c r="J23" s="67"/>
      <c r="K23" s="68"/>
      <c r="L23" s="57" t="str">
        <f>IF(DeclarationConso8[[#This Row],[Article  / désignation]]="","",DeclarationConso8[[#This Row],[Quantité consommée]]*DeclarationConso8[[#This Row],[Prix unitaire]])</f>
        <v/>
      </c>
    </row>
    <row r="24" spans="2:12" ht="25" customHeight="1" x14ac:dyDescent="0.35">
      <c r="B24" s="51" t="str">
        <f>IF('Paramétrage Matières'!B23="","",'Paramétrage Matières'!B23)</f>
        <v/>
      </c>
      <c r="C24" s="52" t="str">
        <f>IFERROR(VLOOKUP(DeclarationConso[[#This Row],[Article  / désignation]],ParametrageMat[],3,FALSE),"")</f>
        <v/>
      </c>
      <c r="D24" s="12"/>
      <c r="E24" s="55" t="str">
        <f>IFERROR(DeclarationConso[[#This Row],[Consommation réelle]]*DeclarationConso[[#This Row],[Unité]],"")</f>
        <v/>
      </c>
      <c r="F24" s="56"/>
      <c r="G24" s="57" t="str">
        <f>IFERROR(DeclarationConso[[#This Row],[Surconsommation]]*VLOOKUP(DeclarationConso[[#This Row],[Article  / désignation]],ParametrageMat[],6,FALSE),"")</f>
        <v/>
      </c>
      <c r="I24" s="66"/>
      <c r="J24" s="67"/>
      <c r="K24" s="68"/>
      <c r="L24" s="57" t="str">
        <f>IF(DeclarationConso8[[#This Row],[Article  / désignation]]="","",DeclarationConso8[[#This Row],[Quantité consommée]]*DeclarationConso8[[#This Row],[Prix unitaire]])</f>
        <v/>
      </c>
    </row>
    <row r="25" spans="2:12" ht="25" customHeight="1" x14ac:dyDescent="0.35">
      <c r="B25" s="51" t="str">
        <f>IF('Paramétrage Matières'!B24="","",'Paramétrage Matières'!B24)</f>
        <v/>
      </c>
      <c r="C25" s="52" t="str">
        <f>IFERROR(VLOOKUP(DeclarationConso[[#This Row],[Article  / désignation]],ParametrageMat[],3,FALSE),"")</f>
        <v/>
      </c>
      <c r="D25" s="12"/>
      <c r="E25" s="55" t="str">
        <f>IFERROR(DeclarationConso[[#This Row],[Consommation réelle]]*DeclarationConso[[#This Row],[Unité]],"")</f>
        <v/>
      </c>
      <c r="F25" s="56"/>
      <c r="G25" s="57" t="str">
        <f>IFERROR(DeclarationConso[[#This Row],[Surconsommation]]*VLOOKUP(DeclarationConso[[#This Row],[Article  / désignation]],ParametrageMat[],6,FALSE),"")</f>
        <v/>
      </c>
      <c r="I25" s="66"/>
      <c r="J25" s="67"/>
      <c r="K25" s="68"/>
      <c r="L25" s="57" t="str">
        <f>IF(DeclarationConso8[[#This Row],[Article  / désignation]]="","",DeclarationConso8[[#This Row],[Quantité consommée]]*DeclarationConso8[[#This Row],[Prix unitaire]])</f>
        <v/>
      </c>
    </row>
    <row r="26" spans="2:12" ht="25" customHeight="1" x14ac:dyDescent="0.35">
      <c r="B26" s="51" t="str">
        <f>IF('Paramétrage Matières'!B25="","",'Paramétrage Matières'!B25)</f>
        <v/>
      </c>
      <c r="C26" s="52" t="str">
        <f>IFERROR(VLOOKUP(DeclarationConso[[#This Row],[Article  / désignation]],ParametrageMat[],3,FALSE),"")</f>
        <v/>
      </c>
      <c r="D26" s="12"/>
      <c r="E26" s="55" t="str">
        <f>IFERROR(DeclarationConso[[#This Row],[Consommation réelle]]*DeclarationConso[[#This Row],[Unité]],"")</f>
        <v/>
      </c>
      <c r="F26" s="56"/>
      <c r="G26" s="57" t="str">
        <f>IFERROR(DeclarationConso[[#This Row],[Surconsommation]]*VLOOKUP(DeclarationConso[[#This Row],[Article  / désignation]],ParametrageMat[],6,FALSE),"")</f>
        <v/>
      </c>
      <c r="I26" s="66"/>
      <c r="J26" s="67"/>
      <c r="K26" s="68"/>
      <c r="L26" s="57" t="str">
        <f>IF(DeclarationConso8[[#This Row],[Article  / désignation]]="","",DeclarationConso8[[#This Row],[Quantité consommée]]*DeclarationConso8[[#This Row],[Prix unitaire]])</f>
        <v/>
      </c>
    </row>
    <row r="27" spans="2:12" ht="25" customHeight="1" x14ac:dyDescent="0.35">
      <c r="B27" s="51" t="str">
        <f>IF('Paramétrage Matières'!B26="","",'Paramétrage Matières'!B26)</f>
        <v/>
      </c>
      <c r="C27" s="52" t="str">
        <f>IFERROR(VLOOKUP(DeclarationConso[[#This Row],[Article  / désignation]],ParametrageMat[],3,FALSE),"")</f>
        <v/>
      </c>
      <c r="D27" s="12"/>
      <c r="E27" s="55" t="str">
        <f>IFERROR(DeclarationConso[[#This Row],[Consommation réelle]]*DeclarationConso[[#This Row],[Unité]],"")</f>
        <v/>
      </c>
      <c r="F27" s="56"/>
      <c r="G27" s="57" t="str">
        <f>IFERROR(DeclarationConso[[#This Row],[Surconsommation]]*VLOOKUP(DeclarationConso[[#This Row],[Article  / désignation]],ParametrageMat[],6,FALSE),"")</f>
        <v/>
      </c>
      <c r="I27" s="66"/>
      <c r="J27" s="67"/>
      <c r="K27" s="68"/>
      <c r="L27" s="57" t="str">
        <f>IF(DeclarationConso8[[#This Row],[Article  / désignation]]="","",DeclarationConso8[[#This Row],[Quantité consommée]]*DeclarationConso8[[#This Row],[Prix unitaire]])</f>
        <v/>
      </c>
    </row>
    <row r="28" spans="2:12" ht="25" customHeight="1" x14ac:dyDescent="0.35">
      <c r="B28" s="51" t="str">
        <f>IF('Paramétrage Matières'!B27="","",'Paramétrage Matières'!B27)</f>
        <v/>
      </c>
      <c r="C28" s="52" t="str">
        <f>IFERROR(VLOOKUP(DeclarationConso[[#This Row],[Article  / désignation]],ParametrageMat[],3,FALSE),"")</f>
        <v/>
      </c>
      <c r="D28" s="12"/>
      <c r="E28" s="55" t="str">
        <f>IFERROR(DeclarationConso[[#This Row],[Consommation réelle]]*DeclarationConso[[#This Row],[Unité]],"")</f>
        <v/>
      </c>
      <c r="F28" s="56"/>
      <c r="G28" s="57" t="str">
        <f>IFERROR(DeclarationConso[[#This Row],[Surconsommation]]*VLOOKUP(DeclarationConso[[#This Row],[Article  / désignation]],ParametrageMat[],6,FALSE),"")</f>
        <v/>
      </c>
      <c r="I28" s="66"/>
      <c r="J28" s="67"/>
      <c r="K28" s="68"/>
      <c r="L28" s="57" t="str">
        <f>IF(DeclarationConso8[[#This Row],[Article  / désignation]]="","",DeclarationConso8[[#This Row],[Quantité consommée]]*DeclarationConso8[[#This Row],[Prix unitaire]])</f>
        <v/>
      </c>
    </row>
  </sheetData>
  <sheetProtection algorithmName="SHA-512" hashValue="S9q4bnrHQiUdsogSaGLTOzWV/LVSrHBfer0mFNlUnV1i2aHdNEXf5yRSCD0MOyBcDFFer9JaOiwm0Pg3OlJOTA==" saltValue="IzYs9S3Z/wsmHh+WGWh8yw==" spinCount="100000" sheet="1" sort="0" autoFilter="0" pivotTables="0"/>
  <mergeCells count="3">
    <mergeCell ref="B1:M1"/>
    <mergeCell ref="I6:L6"/>
    <mergeCell ref="B6:G6"/>
  </mergeCells>
  <pageMargins left="0.7" right="0.7" top="0.75" bottom="0.75" header="0.3" footer="0.3"/>
  <pageSetup orientation="portrait" r:id="rId1"/>
  <ignoredErrors>
    <ignoredError sqref="E8:E28" calculatedColumn="1"/>
  </ignoredErrors>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0"/>
  <sheetViews>
    <sheetView showGridLines="0" zoomScale="80" zoomScaleNormal="80" workbookViewId="0">
      <pane ySplit="7" topLeftCell="A8" activePane="bottomLeft" state="frozen"/>
      <selection activeCell="B1" sqref="B1:Q1"/>
      <selection pane="bottomLeft" activeCell="B1" sqref="B1:L1"/>
    </sheetView>
  </sheetViews>
  <sheetFormatPr baseColWidth="10" defaultColWidth="8.7265625" defaultRowHeight="18.5" x14ac:dyDescent="0.35"/>
  <cols>
    <col min="1" max="1" width="8.7265625" style="21"/>
    <col min="2" max="2" width="40.6328125" style="46" customWidth="1"/>
    <col min="3" max="4" width="30.6328125" style="46" customWidth="1"/>
    <col min="5" max="12" width="12.6328125" style="21" customWidth="1"/>
    <col min="13" max="15" width="12.6328125" customWidth="1"/>
  </cols>
  <sheetData>
    <row r="1" spans="1:12" ht="56.5" customHeight="1" x14ac:dyDescent="0.35">
      <c r="B1" s="73" t="s">
        <v>83</v>
      </c>
      <c r="C1" s="73"/>
      <c r="D1" s="73"/>
      <c r="E1" s="73"/>
      <c r="F1" s="73"/>
      <c r="G1" s="73"/>
      <c r="H1" s="73"/>
      <c r="I1" s="73"/>
      <c r="J1" s="73"/>
      <c r="K1" s="73"/>
      <c r="L1" s="73"/>
    </row>
    <row r="2" spans="1:12" ht="8" customHeight="1" x14ac:dyDescent="0.35">
      <c r="B2" s="22"/>
      <c r="C2" s="22"/>
      <c r="D2" s="23"/>
    </row>
    <row r="3" spans="1:12" x14ac:dyDescent="0.35">
      <c r="B3" s="24"/>
      <c r="C3" s="24"/>
      <c r="D3" s="24"/>
    </row>
    <row r="4" spans="1:12" x14ac:dyDescent="0.35">
      <c r="B4" s="24"/>
      <c r="C4" s="24"/>
      <c r="D4" s="24"/>
    </row>
    <row r="5" spans="1:12" s="8" customFormat="1" ht="18.5" customHeight="1" x14ac:dyDescent="0.35">
      <c r="A5" s="33"/>
      <c r="B5" s="47" t="s">
        <v>62</v>
      </c>
      <c r="C5" s="53">
        <f>SUM(FraisMensuels[Coût mensuel])</f>
        <v>27480.12029239766</v>
      </c>
      <c r="D5" s="24"/>
      <c r="E5" s="21"/>
      <c r="F5" s="33"/>
      <c r="G5" s="33"/>
      <c r="H5" s="33"/>
      <c r="I5" s="33"/>
      <c r="J5" s="33"/>
      <c r="K5" s="33"/>
      <c r="L5" s="33"/>
    </row>
    <row r="6" spans="1:12" s="8" customFormat="1" ht="18.5" customHeight="1" x14ac:dyDescent="0.35">
      <c r="A6" s="33"/>
      <c r="B6" s="22"/>
      <c r="C6" s="22"/>
      <c r="D6" s="58"/>
      <c r="E6" s="33"/>
      <c r="F6" s="33"/>
      <c r="G6" s="33"/>
      <c r="H6" s="33"/>
      <c r="I6" s="33"/>
      <c r="J6" s="33"/>
      <c r="K6" s="33"/>
      <c r="L6" s="33"/>
    </row>
    <row r="7" spans="1:12" ht="35" customHeight="1" x14ac:dyDescent="0.35">
      <c r="B7" s="50" t="s">
        <v>11</v>
      </c>
      <c r="C7" s="50" t="s">
        <v>2</v>
      </c>
      <c r="D7" s="50" t="s">
        <v>84</v>
      </c>
    </row>
    <row r="8" spans="1:12" ht="25" customHeight="1" x14ac:dyDescent="0.35">
      <c r="B8" s="10" t="s">
        <v>29</v>
      </c>
      <c r="C8" s="9" t="s">
        <v>16</v>
      </c>
      <c r="D8" s="13">
        <v>3000</v>
      </c>
    </row>
    <row r="9" spans="1:12" ht="25" customHeight="1" x14ac:dyDescent="0.35">
      <c r="B9" s="10" t="s">
        <v>19</v>
      </c>
      <c r="C9" s="9" t="s">
        <v>16</v>
      </c>
      <c r="D9" s="13">
        <v>100</v>
      </c>
    </row>
    <row r="10" spans="1:12" ht="25" customHeight="1" x14ac:dyDescent="0.35">
      <c r="B10" s="10" t="s">
        <v>20</v>
      </c>
      <c r="C10" s="9" t="s">
        <v>16</v>
      </c>
      <c r="D10" s="13">
        <v>300</v>
      </c>
    </row>
    <row r="11" spans="1:12" ht="25" customHeight="1" x14ac:dyDescent="0.35">
      <c r="B11" s="10" t="s">
        <v>21</v>
      </c>
      <c r="C11" s="9" t="s">
        <v>16</v>
      </c>
      <c r="D11" s="13">
        <v>650</v>
      </c>
    </row>
    <row r="12" spans="1:12" ht="25" customHeight="1" x14ac:dyDescent="0.35">
      <c r="B12" s="10" t="s">
        <v>42</v>
      </c>
      <c r="C12" s="9" t="s">
        <v>26</v>
      </c>
      <c r="D12" s="13">
        <v>13100</v>
      </c>
    </row>
    <row r="13" spans="1:12" ht="25" customHeight="1" x14ac:dyDescent="0.35">
      <c r="B13" s="10" t="s">
        <v>44</v>
      </c>
      <c r="C13" s="9" t="s">
        <v>16</v>
      </c>
      <c r="D13" s="13">
        <v>300</v>
      </c>
    </row>
    <row r="14" spans="1:12" ht="25" customHeight="1" x14ac:dyDescent="0.35">
      <c r="B14" s="10" t="s">
        <v>23</v>
      </c>
      <c r="C14" s="9" t="s">
        <v>16</v>
      </c>
      <c r="D14" s="13">
        <v>100</v>
      </c>
    </row>
    <row r="15" spans="1:12" ht="25" customHeight="1" x14ac:dyDescent="0.35">
      <c r="B15" s="10" t="s">
        <v>27</v>
      </c>
      <c r="C15" s="9" t="s">
        <v>45</v>
      </c>
      <c r="D15" s="13">
        <v>1300</v>
      </c>
    </row>
    <row r="16" spans="1:12" ht="25" customHeight="1" x14ac:dyDescent="0.35">
      <c r="B16" s="10" t="s">
        <v>10</v>
      </c>
      <c r="C16" s="9" t="s">
        <v>53</v>
      </c>
      <c r="D16" s="13">
        <v>460</v>
      </c>
    </row>
    <row r="17" spans="2:4" ht="25" customHeight="1" x14ac:dyDescent="0.35">
      <c r="B17" s="10" t="s">
        <v>22</v>
      </c>
      <c r="C17" s="9" t="s">
        <v>25</v>
      </c>
      <c r="D17" s="13">
        <v>600</v>
      </c>
    </row>
    <row r="18" spans="2:4" ht="25" customHeight="1" x14ac:dyDescent="0.35">
      <c r="B18" s="10" t="s">
        <v>50</v>
      </c>
      <c r="C18" s="9" t="s">
        <v>25</v>
      </c>
      <c r="D18" s="13">
        <v>75</v>
      </c>
    </row>
    <row r="19" spans="2:4" ht="25" customHeight="1" x14ac:dyDescent="0.35">
      <c r="B19" s="10" t="s">
        <v>17</v>
      </c>
      <c r="C19" s="9" t="s">
        <v>24</v>
      </c>
      <c r="D19" s="13">
        <v>550</v>
      </c>
    </row>
    <row r="20" spans="2:4" ht="25" customHeight="1" x14ac:dyDescent="0.35">
      <c r="B20" s="10" t="s">
        <v>18</v>
      </c>
      <c r="C20" s="9" t="s">
        <v>24</v>
      </c>
      <c r="D20" s="13">
        <v>375</v>
      </c>
    </row>
    <row r="21" spans="2:4" ht="25" customHeight="1" x14ac:dyDescent="0.35">
      <c r="B21" s="10" t="s">
        <v>54</v>
      </c>
      <c r="C21" s="9" t="s">
        <v>24</v>
      </c>
      <c r="D21" s="13">
        <v>524</v>
      </c>
    </row>
    <row r="22" spans="2:4" ht="25" customHeight="1" x14ac:dyDescent="0.35">
      <c r="B22" s="10" t="s">
        <v>55</v>
      </c>
      <c r="C22" s="9" t="s">
        <v>56</v>
      </c>
      <c r="D22" s="13">
        <v>3430.5555555555552</v>
      </c>
    </row>
    <row r="23" spans="2:4" ht="25" customHeight="1" x14ac:dyDescent="0.35">
      <c r="B23" s="10" t="s">
        <v>63</v>
      </c>
      <c r="C23" s="9" t="s">
        <v>66</v>
      </c>
      <c r="D23" s="14">
        <f>D12*2%</f>
        <v>262</v>
      </c>
    </row>
    <row r="24" spans="2:4" ht="25" customHeight="1" x14ac:dyDescent="0.35">
      <c r="B24" s="10" t="s">
        <v>64</v>
      </c>
      <c r="C24" s="9" t="s">
        <v>66</v>
      </c>
      <c r="D24" s="14">
        <f>SUMPRODUCT(SuiviCouts[Quantité produite],SuiviCouts[Prix de vente])*0.2%</f>
        <v>117.39473684210527</v>
      </c>
    </row>
    <row r="25" spans="2:4" ht="25" customHeight="1" x14ac:dyDescent="0.35">
      <c r="B25" s="10" t="s">
        <v>65</v>
      </c>
      <c r="C25" s="9" t="s">
        <v>66</v>
      </c>
      <c r="D25" s="14">
        <f>D12*17.07%</f>
        <v>2236.17</v>
      </c>
    </row>
    <row r="26" spans="2:4" ht="25" customHeight="1" x14ac:dyDescent="0.35">
      <c r="B26" s="10"/>
      <c r="C26" s="9"/>
      <c r="D26" s="11"/>
    </row>
    <row r="27" spans="2:4" ht="25" customHeight="1" x14ac:dyDescent="0.35">
      <c r="B27" s="10"/>
      <c r="C27" s="9"/>
      <c r="D27" s="11"/>
    </row>
    <row r="28" spans="2:4" ht="25" customHeight="1" x14ac:dyDescent="0.35">
      <c r="B28" s="10"/>
      <c r="C28" s="9"/>
      <c r="D28" s="11"/>
    </row>
    <row r="29" spans="2:4" ht="25" customHeight="1" x14ac:dyDescent="0.35">
      <c r="B29" s="10"/>
      <c r="C29" s="9"/>
      <c r="D29" s="11"/>
    </row>
    <row r="30" spans="2:4" ht="25" customHeight="1" x14ac:dyDescent="0.35">
      <c r="B30" s="10"/>
      <c r="C30" s="9"/>
      <c r="D30" s="11"/>
    </row>
    <row r="31" spans="2:4" ht="25" customHeight="1" x14ac:dyDescent="0.35">
      <c r="B31" s="9"/>
      <c r="C31" s="9"/>
      <c r="D31" s="11"/>
    </row>
    <row r="32" spans="2:4" ht="25" customHeight="1" x14ac:dyDescent="0.35">
      <c r="B32" s="9"/>
      <c r="C32" s="9"/>
      <c r="D32" s="11"/>
    </row>
    <row r="33" spans="2:4" ht="25" customHeight="1" x14ac:dyDescent="0.35">
      <c r="B33" s="9"/>
      <c r="C33" s="9"/>
      <c r="D33" s="11"/>
    </row>
    <row r="34" spans="2:4" ht="25" customHeight="1" x14ac:dyDescent="0.35">
      <c r="B34" s="9"/>
      <c r="C34" s="9"/>
      <c r="D34" s="11"/>
    </row>
    <row r="35" spans="2:4" ht="25" customHeight="1" x14ac:dyDescent="0.35">
      <c r="B35" s="9"/>
      <c r="C35" s="9"/>
      <c r="D35" s="11"/>
    </row>
    <row r="36" spans="2:4" ht="25" customHeight="1" x14ac:dyDescent="0.35">
      <c r="B36" s="9"/>
      <c r="C36" s="9"/>
      <c r="D36" s="11"/>
    </row>
    <row r="37" spans="2:4" ht="25" customHeight="1" x14ac:dyDescent="0.35">
      <c r="B37" s="9"/>
      <c r="C37" s="9"/>
      <c r="D37" s="11"/>
    </row>
    <row r="38" spans="2:4" ht="25" customHeight="1" x14ac:dyDescent="0.35">
      <c r="B38" s="9"/>
      <c r="C38" s="9"/>
      <c r="D38" s="11"/>
    </row>
    <row r="39" spans="2:4" ht="25" customHeight="1" x14ac:dyDescent="0.35">
      <c r="B39" s="9"/>
      <c r="C39" s="9"/>
      <c r="D39" s="11"/>
    </row>
    <row r="40" spans="2:4" ht="25" customHeight="1" x14ac:dyDescent="0.35">
      <c r="B40" s="9"/>
      <c r="C40" s="9"/>
      <c r="D40" s="11"/>
    </row>
  </sheetData>
  <sheetProtection algorithmName="SHA-512" hashValue="AspDtMrNkNG7O9BeLZxwrVgoIk68WNvWW4BmHxNB4OoNnfsbbsBf+zmnFeZlZ8HQlFS6SHMr6buL7r09pKB7tA==" saltValue="COGkaM4ynmPpSX5m/CaFQg==" spinCount="100000" sheet="1" sort="0" autoFilter="0" pivotTables="0"/>
  <mergeCells count="1">
    <mergeCell ref="B1:L1"/>
  </mergeCells>
  <pageMargins left="0.7" right="0.7" top="0.75" bottom="0.75" header="0.3" footer="0.3"/>
  <pageSetup orientation="portrait" r:id="rId1"/>
  <ignoredErrors>
    <ignoredError sqref="D23" unlockedFormula="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U40"/>
  <sheetViews>
    <sheetView showGridLines="0" zoomScale="80" zoomScaleNormal="80" workbookViewId="0">
      <pane ySplit="7" topLeftCell="A8" activePane="bottomLeft" state="frozen"/>
      <selection activeCell="C1" sqref="C1:J1"/>
      <selection pane="bottomLeft" activeCell="B1" sqref="B1:U1"/>
    </sheetView>
  </sheetViews>
  <sheetFormatPr baseColWidth="10" defaultColWidth="8.7265625" defaultRowHeight="18.5" x14ac:dyDescent="0.35"/>
  <cols>
    <col min="1" max="1" width="8.7265625" style="21"/>
    <col min="2" max="2" width="14.6328125" style="46" customWidth="1"/>
    <col min="3" max="3" width="8.6328125" style="46" customWidth="1"/>
    <col min="4" max="11" width="10.6328125" style="46" customWidth="1"/>
    <col min="12" max="12" width="12.6328125" style="46" customWidth="1"/>
    <col min="13" max="16" width="12.6328125" style="21" customWidth="1"/>
    <col min="17" max="21" width="11.6328125" style="21" customWidth="1"/>
  </cols>
  <sheetData>
    <row r="1" spans="2:21" ht="56.5" customHeight="1" x14ac:dyDescent="0.35">
      <c r="B1" s="73" t="s">
        <v>72</v>
      </c>
      <c r="C1" s="73"/>
      <c r="D1" s="73"/>
      <c r="E1" s="73"/>
      <c r="F1" s="73"/>
      <c r="G1" s="73"/>
      <c r="H1" s="73"/>
      <c r="I1" s="73"/>
      <c r="J1" s="73"/>
      <c r="K1" s="73"/>
      <c r="L1" s="73"/>
      <c r="M1" s="73"/>
      <c r="N1" s="73"/>
      <c r="O1" s="73"/>
      <c r="P1" s="73"/>
      <c r="Q1" s="73"/>
      <c r="R1" s="73"/>
      <c r="S1" s="73"/>
      <c r="T1" s="73"/>
      <c r="U1" s="73"/>
    </row>
    <row r="2" spans="2:21" ht="8" customHeight="1" x14ac:dyDescent="0.35">
      <c r="B2" s="22"/>
      <c r="C2" s="22"/>
      <c r="D2" s="23"/>
      <c r="E2" s="23"/>
      <c r="F2" s="23"/>
      <c r="G2" s="23"/>
      <c r="H2" s="23"/>
      <c r="I2" s="23"/>
      <c r="J2" s="23"/>
      <c r="K2" s="24"/>
      <c r="L2" s="23"/>
      <c r="M2" s="23"/>
      <c r="N2" s="23"/>
      <c r="O2" s="23"/>
      <c r="P2" s="23"/>
      <c r="Q2" s="23"/>
      <c r="R2" s="23"/>
      <c r="S2" s="23"/>
      <c r="T2" s="23"/>
      <c r="U2" s="23"/>
    </row>
    <row r="3" spans="2:21" ht="30" customHeight="1" x14ac:dyDescent="0.35">
      <c r="B3" s="24"/>
      <c r="C3" s="25" t="s">
        <v>57</v>
      </c>
      <c r="D3" s="25" t="s">
        <v>99</v>
      </c>
      <c r="E3" s="25" t="s">
        <v>100</v>
      </c>
      <c r="F3" s="25" t="s">
        <v>85</v>
      </c>
      <c r="G3" s="25" t="s">
        <v>69</v>
      </c>
      <c r="H3" s="25" t="s">
        <v>87</v>
      </c>
      <c r="I3" s="25" t="s">
        <v>88</v>
      </c>
      <c r="J3" s="25" t="s">
        <v>89</v>
      </c>
      <c r="K3" s="25" t="s">
        <v>90</v>
      </c>
      <c r="L3" s="25" t="s">
        <v>91</v>
      </c>
      <c r="M3" s="26" t="s">
        <v>104</v>
      </c>
      <c r="N3" s="25" t="s">
        <v>105</v>
      </c>
      <c r="O3" s="25" t="s">
        <v>106</v>
      </c>
      <c r="P3" s="27" t="s">
        <v>107</v>
      </c>
      <c r="Q3" s="25" t="s">
        <v>108</v>
      </c>
      <c r="R3" s="25" t="s">
        <v>98</v>
      </c>
      <c r="S3" s="25" t="s">
        <v>110</v>
      </c>
      <c r="T3" s="25" t="s">
        <v>109</v>
      </c>
      <c r="U3" s="25" t="s">
        <v>97</v>
      </c>
    </row>
    <row r="4" spans="2:21" ht="30" customHeight="1" x14ac:dyDescent="0.35">
      <c r="B4" s="25" t="s">
        <v>103</v>
      </c>
      <c r="C4" s="28">
        <f>SUM(SuiviCouts[Quantité produite])</f>
        <v>34500</v>
      </c>
      <c r="D4" s="28">
        <f>SUM(SuiviCouts[Terre (kg)])</f>
        <v>374790</v>
      </c>
      <c r="E4" s="28">
        <f>SUM(SuiviCouts[Ciment (kg)])</f>
        <v>28210</v>
      </c>
      <c r="F4" s="28">
        <f>SUM(SuiviCouts[Nombre de palettes])</f>
        <v>248</v>
      </c>
      <c r="G4" s="28">
        <f>SUM(SuiviCouts[Bande de cerclage (m)])</f>
        <v>2464.2857142857142</v>
      </c>
      <c r="H4" s="29">
        <f>SUM(SuiviCouts[Coût Terre])</f>
        <v>3306.9705882352946</v>
      </c>
      <c r="I4" s="29">
        <f>SUM(SuiviCouts[Coût Ciment])</f>
        <v>7898.8000000000011</v>
      </c>
      <c r="J4" s="29">
        <f>SUM(SuiviCouts[Coût Palettes])</f>
        <v>1724.9999999999995</v>
      </c>
      <c r="K4" s="29">
        <f>SUM(SuiviCouts[Coût Bande de cerclage])</f>
        <v>246.42857142857144</v>
      </c>
      <c r="L4" s="29">
        <f>SUM(SuiviCouts[Total coût matière])</f>
        <v>13177.199159663867</v>
      </c>
      <c r="M4" s="29">
        <f>SUM(SuiviCouts[Valeur Surconsommation/Saving])</f>
        <v>592.57973775717187</v>
      </c>
      <c r="N4" s="30">
        <f>(L4+M4)/C4</f>
        <v>0.39912402601220404</v>
      </c>
      <c r="O4" s="29">
        <f>SUM(SuiviCouts[Frais de gestion imputés])</f>
        <v>27243.22270367009</v>
      </c>
      <c r="P4" s="31">
        <f>N4+(O4/C4)</f>
        <v>1.1887826551040908</v>
      </c>
      <c r="Q4" s="30">
        <f>SUMPRODUCT(SuiviCouts[Coût Cible/Bloc],SuiviCouts[Quantité produite])/SUM(SuiviCouts[Quantité produite])</f>
        <v>0.75211747580346144</v>
      </c>
      <c r="R4" s="32">
        <f>(P4-Q4)/Q4</f>
        <v>0.58058108387144547</v>
      </c>
      <c r="S4" s="29">
        <f>SUMPRODUCT(SuiviCouts[Quantité produite],SuiviCouts[Prix de vente])</f>
        <v>58697.368421052633</v>
      </c>
      <c r="T4" s="30">
        <f>(S4-(L4+M4+O4))/C4</f>
        <v>0.51259034260757985</v>
      </c>
      <c r="U4" s="32">
        <f>((T4-(S4/C4-Q4))/(S4/C4-Q4))</f>
        <v>-0.46000804759380032</v>
      </c>
    </row>
    <row r="5" spans="2:21" x14ac:dyDescent="0.35">
      <c r="B5" s="24"/>
      <c r="C5" s="24"/>
      <c r="D5" s="24"/>
      <c r="E5" s="24"/>
      <c r="F5" s="24"/>
      <c r="G5" s="24"/>
      <c r="H5" s="24"/>
      <c r="I5" s="24"/>
      <c r="J5" s="24"/>
      <c r="K5" s="24"/>
      <c r="L5" s="21"/>
      <c r="S5" s="65"/>
      <c r="T5" s="65"/>
    </row>
    <row r="6" spans="2:21" ht="18.5" customHeight="1" x14ac:dyDescent="0.35">
      <c r="B6" s="33"/>
      <c r="C6" s="33"/>
      <c r="D6" s="75" t="s">
        <v>60</v>
      </c>
      <c r="E6" s="75"/>
      <c r="F6" s="75"/>
      <c r="G6" s="75"/>
      <c r="H6" s="76" t="s">
        <v>86</v>
      </c>
      <c r="I6" s="76"/>
      <c r="J6" s="76"/>
      <c r="K6" s="76"/>
      <c r="L6" s="21"/>
      <c r="T6" s="65"/>
    </row>
    <row r="7" spans="2:21" ht="35" customHeight="1" x14ac:dyDescent="0.35">
      <c r="B7" s="34" t="s">
        <v>30</v>
      </c>
      <c r="C7" s="34" t="s">
        <v>57</v>
      </c>
      <c r="D7" s="34" t="s">
        <v>67</v>
      </c>
      <c r="E7" s="34" t="s">
        <v>68</v>
      </c>
      <c r="F7" s="34" t="s">
        <v>85</v>
      </c>
      <c r="G7" s="34" t="s">
        <v>69</v>
      </c>
      <c r="H7" s="34" t="s">
        <v>87</v>
      </c>
      <c r="I7" s="34" t="s">
        <v>88</v>
      </c>
      <c r="J7" s="34" t="s">
        <v>89</v>
      </c>
      <c r="K7" s="34" t="s">
        <v>90</v>
      </c>
      <c r="L7" s="35" t="s">
        <v>91</v>
      </c>
      <c r="M7" s="36" t="s">
        <v>92</v>
      </c>
      <c r="N7" s="35" t="s">
        <v>93</v>
      </c>
      <c r="O7" s="35" t="s">
        <v>94</v>
      </c>
      <c r="P7" s="37" t="s">
        <v>96</v>
      </c>
      <c r="Q7" s="35" t="s">
        <v>95</v>
      </c>
      <c r="R7" s="35" t="s">
        <v>98</v>
      </c>
      <c r="S7" s="35" t="s">
        <v>70</v>
      </c>
      <c r="T7" s="35" t="s">
        <v>73</v>
      </c>
      <c r="U7" s="35" t="s">
        <v>97</v>
      </c>
    </row>
    <row r="8" spans="2:21" ht="30" customHeight="1" x14ac:dyDescent="0.35">
      <c r="B8" s="38" t="str">
        <f>IF(CompositionBlocs[[#This Row],[Types blocs]]="","",CompositionBlocs[[#This Row],[Types blocs]])</f>
        <v>BlOC BTC 22 cm</v>
      </c>
      <c r="C8" s="39">
        <f>IFERROR(IF(VLOOKUP(SuiviCouts[[#This Row],[Types blocs]],DeclarationProd[],3,FALSE)="","",VLOOKUP(SuiviCouts[[#This Row],[Types blocs]],DeclarationProd[],3,FALSE)),"")</f>
        <v>20000</v>
      </c>
      <c r="D8" s="40">
        <f>IFERROR(SuiviCouts[[#This Row],[Quantité produite]]*VLOOKUP(SuiviCouts[[#This Row],[Types blocs]],CompositionBlocs[],4,FALSE),"")</f>
        <v>223200</v>
      </c>
      <c r="E8" s="40">
        <f>IFERROR(SuiviCouts[[#This Row],[Quantité produite]]*VLOOKUP(SuiviCouts[[#This Row],[Types blocs]],CompositionBlocs[],5,FALSE),"")</f>
        <v>16800</v>
      </c>
      <c r="F8" s="41">
        <f>IFERROR(ROUNDUP(SuiviCouts[[#This Row],[Quantité produite]]*VLOOKUP(SuiviCouts[[#This Row],[Types blocs]],CompositionBlocs[],6,FALSE),0),"")</f>
        <v>143</v>
      </c>
      <c r="G8" s="40">
        <f>IFERROR(SuiviCouts[[#This Row],[Quantité produite]]*VLOOKUP(SuiviCouts[[#This Row],[Types blocs]],CompositionBlocs[],7,FALSE),"")</f>
        <v>1428.5714285714284</v>
      </c>
      <c r="H8" s="42">
        <f>IFERROR(SuiviCouts[[#This Row],[Quantité produite]]*VLOOKUP(SuiviCouts[[#This Row],[Types blocs]],CompositionBlocs[],8,FALSE),"")</f>
        <v>1969.4117647058822</v>
      </c>
      <c r="I8" s="43">
        <f>IFERROR(SuiviCouts[[#This Row],[Quantité produite]]*VLOOKUP(SuiviCouts[[#This Row],[Types blocs]],CompositionBlocs[],9,FALSE),"")</f>
        <v>4704.0000000000009</v>
      </c>
      <c r="J8" s="42">
        <f>IFERROR(SuiviCouts[[#This Row],[Quantité produite]]*VLOOKUP(SuiviCouts[[#This Row],[Types blocs]],CompositionBlocs[],10,FALSE),"")</f>
        <v>999.99999999999966</v>
      </c>
      <c r="K8" s="42">
        <f>IFERROR(SuiviCouts[[#This Row],[Quantité produite]]*VLOOKUP(SuiviCouts[[#This Row],[Types blocs]],CompositionBlocs[],11,FALSE),"")</f>
        <v>142.85714285714286</v>
      </c>
      <c r="L8" s="42">
        <f>IF(VLOOKUP(SuiviCouts[[#This Row],[Types blocs]],DeclarationProd[],3,FALSE)="","",SUM(SuiviCouts[[#This Row],[Coût Terre]:[Coût Bande de cerclage]]))</f>
        <v>7816.268907563026</v>
      </c>
      <c r="M8" s="42">
        <f>IFERROR('Déclaration Consommation'!$D$4*(SuiviCouts[[#This Row],[Quantité produite]]/'Déclaration Production'!$D$4),"")</f>
        <v>343.52448565633154</v>
      </c>
      <c r="N8" s="42">
        <f>IFERROR((SuiviCouts[[#This Row],[Total coût matière]]+SuiviCouts[[#This Row],[Valeur Surconsommation/Saving]])/SuiviCouts[[#This Row],[Quantité produite]],"")</f>
        <v>0.40798966966096789</v>
      </c>
      <c r="O8" s="42">
        <f>IFERROR('Frais de gestion'!$C$5*(SuiviCouts[[#This Row],[Quantité produite]]/'Déclaration Production'!$D$4),"")</f>
        <v>15793.172581837734</v>
      </c>
      <c r="P8" s="44">
        <f>IFERROR(SuiviCouts[[#This Row],[Coût matière réel / bloc]]+(SuiviCouts[[#This Row],[Frais de gestion imputés]]/SuiviCouts[[#This Row],[Quantité produite]]),"")</f>
        <v>1.1976482987528547</v>
      </c>
      <c r="Q8" s="42">
        <f>IFERROR(VLOOKUP(SuiviCouts[[#This Row],[Types blocs]],CompositionBlocs[],12,FALSE),"")</f>
        <v>0.76098311945222541</v>
      </c>
      <c r="R8" s="45">
        <f>IFERROR((SuiviCouts[[#This Row],[Coût réel/Bloc]]-SuiviCouts[[#This Row],[Coût Cible/Bloc]])/SuiviCouts[[#This Row],[Coût Cible/Bloc]],"")</f>
        <v>0.57381716905225411</v>
      </c>
      <c r="S8" s="42">
        <f>IFERROR(IF(VLOOKUP(SuiviCouts[[#This Row],[Types blocs]],CompositionBlocs[],3,FALSE)="","",VLOOKUP(SuiviCouts[[#This Row],[Types blocs]],CompositionBlocs[],3,FALSE)),"")</f>
        <v>1.3157894736842106</v>
      </c>
      <c r="T8" s="42">
        <f>IFERROR(SuiviCouts[[#This Row],[Prix de vente]]-SuiviCouts[[#This Row],[Coût réel/Bloc]],"")</f>
        <v>0.1181411749313559</v>
      </c>
      <c r="U8" s="45">
        <f>IFERROR((SuiviCouts[[#This Row],[Marge / Bloc]]-(SuiviCouts[[#This Row],[Prix de vente]]-SuiviCouts[[#This Row],[Coût Cible/Bloc]]))/(SuiviCouts[[#This Row],[Prix de vente]]-SuiviCouts[[#This Row],[Coût Cible/Bloc]]),"")</f>
        <v>-0.78705872052439274</v>
      </c>
    </row>
    <row r="9" spans="2:21" ht="30" customHeight="1" x14ac:dyDescent="0.35">
      <c r="B9" s="38" t="str">
        <f>IF(CompositionBlocs[[#This Row],[Types blocs]]="","",CompositionBlocs[[#This Row],[Types blocs]])</f>
        <v>BLOC BTC 18 cm</v>
      </c>
      <c r="C9" s="39">
        <f>IFERROR(IF(VLOOKUP(SuiviCouts[[#This Row],[Types blocs]],DeclarationProd[],3,FALSE)="","",VLOOKUP(SuiviCouts[[#This Row],[Types blocs]],DeclarationProd[],3,FALSE)),"")</f>
        <v>1500</v>
      </c>
      <c r="D9" s="40">
        <f>IFERROR(SuiviCouts[[#This Row],[Quantité produite]]*VLOOKUP(SuiviCouts[[#This Row],[Types blocs]],CompositionBlocs[],4,FALSE),"")</f>
        <v>13950.000000000002</v>
      </c>
      <c r="E9" s="40">
        <f>IFERROR(SuiviCouts[[#This Row],[Quantité produite]]*VLOOKUP(SuiviCouts[[#This Row],[Types blocs]],CompositionBlocs[],5,FALSE),"")</f>
        <v>1050</v>
      </c>
      <c r="F9" s="41">
        <f>IFERROR(ROUNDUP(SuiviCouts[[#This Row],[Quantité produite]]*VLOOKUP(SuiviCouts[[#This Row],[Types blocs]],CompositionBlocs[],6,FALSE),0),"")</f>
        <v>11</v>
      </c>
      <c r="G9" s="40">
        <f>IFERROR(SuiviCouts[[#This Row],[Quantité produite]]*VLOOKUP(SuiviCouts[[#This Row],[Types blocs]],CompositionBlocs[],7,FALSE),"")</f>
        <v>107.14285714285714</v>
      </c>
      <c r="H9" s="42">
        <f>IFERROR(SuiviCouts[[#This Row],[Quantité produite]]*VLOOKUP(SuiviCouts[[#This Row],[Types blocs]],CompositionBlocs[],8,FALSE),"")</f>
        <v>123.08823529411765</v>
      </c>
      <c r="I9" s="43">
        <f>IFERROR(SuiviCouts[[#This Row],[Quantité produite]]*VLOOKUP(SuiviCouts[[#This Row],[Types blocs]],CompositionBlocs[],9,FALSE),"")</f>
        <v>294.00000000000006</v>
      </c>
      <c r="J9" s="42">
        <f>IFERROR(SuiviCouts[[#This Row],[Quantité produite]]*VLOOKUP(SuiviCouts[[#This Row],[Types blocs]],CompositionBlocs[],10,FALSE),"")</f>
        <v>75</v>
      </c>
      <c r="K9" s="42">
        <f>IFERROR(SuiviCouts[[#This Row],[Quantité produite]]*VLOOKUP(SuiviCouts[[#This Row],[Types blocs]],CompositionBlocs[],11,FALSE),"")</f>
        <v>10.714285714285714</v>
      </c>
      <c r="L9" s="42">
        <f>IF(VLOOKUP(SuiviCouts[[#This Row],[Types blocs]],DeclarationProd[],3,FALSE)="","",SUM(SuiviCouts[[#This Row],[Coût Terre]:[Coût Bande de cerclage]]))</f>
        <v>502.8025210084034</v>
      </c>
      <c r="M9" s="42">
        <f>IFERROR('Déclaration Consommation'!$D$4*(SuiviCouts[[#This Row],[Quantité produite]]/'Déclaration Production'!$D$4),"")</f>
        <v>25.764336424224865</v>
      </c>
      <c r="N9" s="42">
        <f>IFERROR((SuiviCouts[[#This Row],[Total coût matière]]+SuiviCouts[[#This Row],[Valeur Surconsommation/Saving]])/SuiviCouts[[#This Row],[Quantité produite]],"")</f>
        <v>0.35237790495508547</v>
      </c>
      <c r="O9" s="42">
        <f>IFERROR('Frais de gestion'!$C$5*(SuiviCouts[[#This Row],[Quantité produite]]/'Déclaration Production'!$D$4),"")</f>
        <v>1184.4879436378303</v>
      </c>
      <c r="P9" s="44">
        <f>IFERROR(SuiviCouts[[#This Row],[Coût matière réel / bloc]]+(SuiviCouts[[#This Row],[Frais de gestion imputés]]/SuiviCouts[[#This Row],[Quantité produite]]),"")</f>
        <v>1.1420365340469725</v>
      </c>
      <c r="Q9" s="42">
        <f>IFERROR(VLOOKUP(SuiviCouts[[#This Row],[Types blocs]],CompositionBlocs[],12,FALSE),"")</f>
        <v>0.70537135474634294</v>
      </c>
      <c r="R9" s="45">
        <f>IFERROR((SuiviCouts[[#This Row],[Coût réel/Bloc]]-SuiviCouts[[#This Row],[Coût Cible/Bloc]])/SuiviCouts[[#This Row],[Coût Cible/Bloc]],"")</f>
        <v>0.61905714821330926</v>
      </c>
      <c r="S9" s="42">
        <f>IFERROR(IF(VLOOKUP(SuiviCouts[[#This Row],[Types blocs]],CompositionBlocs[],3,FALSE)="","",VLOOKUP(SuiviCouts[[#This Row],[Types blocs]],CompositionBlocs[],3,FALSE)),"")</f>
        <v>1.1842105263157894</v>
      </c>
      <c r="T9" s="42">
        <f>IFERROR(SuiviCouts[[#This Row],[Prix de vente]]-SuiviCouts[[#This Row],[Coût réel/Bloc]],"")</f>
        <v>4.2173992268816907E-2</v>
      </c>
      <c r="U9" s="45">
        <f>IFERROR((SuiviCouts[[#This Row],[Marge / Bloc]]-(SuiviCouts[[#This Row],[Prix de vente]]-SuiviCouts[[#This Row],[Coût Cible/Bloc]]))/(SuiviCouts[[#This Row],[Prix de vente]]-SuiviCouts[[#This Row],[Coût Cible/Bloc]]),"")</f>
        <v>-0.91192451500868832</v>
      </c>
    </row>
    <row r="10" spans="2:21" ht="30" customHeight="1" x14ac:dyDescent="0.35">
      <c r="B10" s="38" t="str">
        <f>IF(CompositionBlocs[[#This Row],[Types blocs]]="","",CompositionBlocs[[#This Row],[Types blocs]])</f>
        <v>BlOC BTC 15 cm</v>
      </c>
      <c r="C10" s="39">
        <f>IFERROR(IF(VLOOKUP(SuiviCouts[[#This Row],[Types blocs]],DeclarationProd[],3,FALSE)="","",VLOOKUP(SuiviCouts[[#This Row],[Types blocs]],DeclarationProd[],3,FALSE)),"")</f>
        <v>2000</v>
      </c>
      <c r="D10" s="40">
        <f>IFERROR(SuiviCouts[[#This Row],[Quantité produite]]*VLOOKUP(SuiviCouts[[#This Row],[Types blocs]],CompositionBlocs[],4,FALSE),"")</f>
        <v>14880</v>
      </c>
      <c r="E10" s="40">
        <f>IFERROR(SuiviCouts[[#This Row],[Quantité produite]]*VLOOKUP(SuiviCouts[[#This Row],[Types blocs]],CompositionBlocs[],5,FALSE),"")</f>
        <v>1120</v>
      </c>
      <c r="F10" s="41">
        <f>IFERROR(ROUNDUP(SuiviCouts[[#This Row],[Quantité produite]]*VLOOKUP(SuiviCouts[[#This Row],[Types blocs]],CompositionBlocs[],6,FALSE),0),"")</f>
        <v>15</v>
      </c>
      <c r="G10" s="40">
        <f>IFERROR(SuiviCouts[[#This Row],[Quantité produite]]*VLOOKUP(SuiviCouts[[#This Row],[Types blocs]],CompositionBlocs[],7,FALSE),"")</f>
        <v>142.85714285714286</v>
      </c>
      <c r="H10" s="42">
        <f>IFERROR(SuiviCouts[[#This Row],[Quantité produite]]*VLOOKUP(SuiviCouts[[#This Row],[Types blocs]],CompositionBlocs[],8,FALSE),"")</f>
        <v>131.29411764705884</v>
      </c>
      <c r="I10" s="43">
        <f>IFERROR(SuiviCouts[[#This Row],[Quantité produite]]*VLOOKUP(SuiviCouts[[#This Row],[Types blocs]],CompositionBlocs[],9,FALSE),"")</f>
        <v>313.60000000000002</v>
      </c>
      <c r="J10" s="42">
        <f>IFERROR(SuiviCouts[[#This Row],[Quantité produite]]*VLOOKUP(SuiviCouts[[#This Row],[Types blocs]],CompositionBlocs[],10,FALSE),"")</f>
        <v>99.999999999999986</v>
      </c>
      <c r="K10" s="42">
        <f>IFERROR(SuiviCouts[[#This Row],[Quantité produite]]*VLOOKUP(SuiviCouts[[#This Row],[Types blocs]],CompositionBlocs[],11,FALSE),"")</f>
        <v>14.285714285714285</v>
      </c>
      <c r="L10" s="42">
        <f>IF(VLOOKUP(SuiviCouts[[#This Row],[Types blocs]],DeclarationProd[],3,FALSE)="","",SUM(SuiviCouts[[#This Row],[Coût Terre]:[Coût Bande de cerclage]]))</f>
        <v>559.17983193277314</v>
      </c>
      <c r="M10" s="42">
        <f>IFERROR('Déclaration Consommation'!$D$4*(SuiviCouts[[#This Row],[Quantité produite]]/'Déclaration Production'!$D$4),"")</f>
        <v>34.352448565633154</v>
      </c>
      <c r="N10" s="42">
        <f>IFERROR((SuiviCouts[[#This Row],[Total coût matière]]+SuiviCouts[[#This Row],[Valeur Surconsommation/Saving]])/SuiviCouts[[#This Row],[Quantité produite]],"")</f>
        <v>0.29676614024920317</v>
      </c>
      <c r="O10" s="42">
        <f>IFERROR('Frais de gestion'!$C$5*(SuiviCouts[[#This Row],[Quantité produite]]/'Déclaration Production'!$D$4),"")</f>
        <v>1579.3172581837734</v>
      </c>
      <c r="P10" s="44">
        <f>IFERROR(SuiviCouts[[#This Row],[Coût matière réel / bloc]]+(SuiviCouts[[#This Row],[Frais de gestion imputés]]/SuiviCouts[[#This Row],[Quantité produite]]),"")</f>
        <v>1.08642476934109</v>
      </c>
      <c r="Q10" s="42">
        <f>IFERROR(VLOOKUP(SuiviCouts[[#This Row],[Types blocs]],CompositionBlocs[],12,FALSE),"")</f>
        <v>0.64975959004046058</v>
      </c>
      <c r="R10" s="45">
        <f>IFERROR((SuiviCouts[[#This Row],[Coût réel/Bloc]]-SuiviCouts[[#This Row],[Coût Cible/Bloc]])/SuiviCouts[[#This Row],[Coût Cible/Bloc]],"")</f>
        <v>0.67204114566964412</v>
      </c>
      <c r="S10" s="42">
        <f>IFERROR(IF(VLOOKUP(SuiviCouts[[#This Row],[Types blocs]],CompositionBlocs[],3,FALSE)="","",VLOOKUP(SuiviCouts[[#This Row],[Types blocs]],CompositionBlocs[],3,FALSE)),"")</f>
        <v>1.0526315789473684</v>
      </c>
      <c r="T10" s="42">
        <f>IFERROR(SuiviCouts[[#This Row],[Prix de vente]]-SuiviCouts[[#This Row],[Coût réel/Bloc]],"")</f>
        <v>-3.3793190393721639E-2</v>
      </c>
      <c r="U10" s="45">
        <f>IFERROR((SuiviCouts[[#This Row],[Marge / Bloc]]-(SuiviCouts[[#This Row],[Prix de vente]]-SuiviCouts[[#This Row],[Coût Cible/Bloc]]))/(SuiviCouts[[#This Row],[Prix de vente]]-SuiviCouts[[#This Row],[Coût Cible/Bloc]]),"")</f>
        <v>-1.0838807147784362</v>
      </c>
    </row>
    <row r="11" spans="2:21" ht="30" customHeight="1" x14ac:dyDescent="0.35">
      <c r="B11" s="38" t="str">
        <f>IF(CompositionBlocs[[#This Row],[Types blocs]]="","",CompositionBlocs[[#This Row],[Types blocs]])</f>
        <v>BLOC spliter 22 cm</v>
      </c>
      <c r="C11" s="39">
        <f>IFERROR(IF(VLOOKUP(SuiviCouts[[#This Row],[Types blocs]],DeclarationProd[],3,FALSE)="","",VLOOKUP(SuiviCouts[[#This Row],[Types blocs]],DeclarationProd[],3,FALSE)),"")</f>
        <v>5000</v>
      </c>
      <c r="D11" s="40">
        <f>IFERROR(SuiviCouts[[#This Row],[Quantité produite]]*VLOOKUP(SuiviCouts[[#This Row],[Types blocs]],CompositionBlocs[],4,FALSE),"")</f>
        <v>55800</v>
      </c>
      <c r="E11" s="40">
        <f>IFERROR(SuiviCouts[[#This Row],[Quantité produite]]*VLOOKUP(SuiviCouts[[#This Row],[Types blocs]],CompositionBlocs[],5,FALSE),"")</f>
        <v>4200</v>
      </c>
      <c r="F11" s="41">
        <f>IFERROR(ROUNDUP(SuiviCouts[[#This Row],[Quantité produite]]*VLOOKUP(SuiviCouts[[#This Row],[Types blocs]],CompositionBlocs[],6,FALSE),0),"")</f>
        <v>36</v>
      </c>
      <c r="G11" s="40">
        <f>IFERROR(SuiviCouts[[#This Row],[Quantité produite]]*VLOOKUP(SuiviCouts[[#This Row],[Types blocs]],CompositionBlocs[],7,FALSE),"")</f>
        <v>357.14285714285711</v>
      </c>
      <c r="H11" s="42">
        <f>IFERROR(SuiviCouts[[#This Row],[Quantité produite]]*VLOOKUP(SuiviCouts[[#This Row],[Types blocs]],CompositionBlocs[],8,FALSE),"")</f>
        <v>492.35294117647055</v>
      </c>
      <c r="I11" s="43">
        <f>IFERROR(SuiviCouts[[#This Row],[Quantité produite]]*VLOOKUP(SuiviCouts[[#This Row],[Types blocs]],CompositionBlocs[],9,FALSE),"")</f>
        <v>1176.0000000000002</v>
      </c>
      <c r="J11" s="42">
        <f>IFERROR(SuiviCouts[[#This Row],[Quantité produite]]*VLOOKUP(SuiviCouts[[#This Row],[Types blocs]],CompositionBlocs[],10,FALSE),"")</f>
        <v>249.99999999999997</v>
      </c>
      <c r="K11" s="42">
        <f>IFERROR(SuiviCouts[[#This Row],[Quantité produite]]*VLOOKUP(SuiviCouts[[#This Row],[Types blocs]],CompositionBlocs[],11,FALSE),"")</f>
        <v>35.714285714285715</v>
      </c>
      <c r="L11" s="42">
        <f>IF(VLOOKUP(SuiviCouts[[#This Row],[Types blocs]],DeclarationProd[],3,FALSE)="","",SUM(SuiviCouts[[#This Row],[Coût Terre]:[Coût Bande de cerclage]]))</f>
        <v>1954.0672268907565</v>
      </c>
      <c r="M11" s="42">
        <f>IFERROR('Déclaration Consommation'!$D$4*(SuiviCouts[[#This Row],[Quantité produite]]/'Déclaration Production'!$D$4),"")</f>
        <v>85.881121414082884</v>
      </c>
      <c r="N11" s="42">
        <f>IFERROR((SuiviCouts[[#This Row],[Total coût matière]]+SuiviCouts[[#This Row],[Valeur Surconsommation/Saving]])/SuiviCouts[[#This Row],[Quantité produite]],"")</f>
        <v>0.40798966966096789</v>
      </c>
      <c r="O11" s="42">
        <f>IFERROR('Frais de gestion'!$C$5*(SuiviCouts[[#This Row],[Quantité produite]]/'Déclaration Production'!$D$4),"")</f>
        <v>3948.2931454594336</v>
      </c>
      <c r="P11" s="44">
        <f>IFERROR(SuiviCouts[[#This Row],[Coût matière réel / bloc]]+(SuiviCouts[[#This Row],[Frais de gestion imputés]]/SuiviCouts[[#This Row],[Quantité produite]]),"")</f>
        <v>1.1976482987528547</v>
      </c>
      <c r="Q11" s="42">
        <f>IFERROR(VLOOKUP(SuiviCouts[[#This Row],[Types blocs]],CompositionBlocs[],12,FALSE),"")</f>
        <v>0.76098311945222541</v>
      </c>
      <c r="R11" s="45">
        <f>IFERROR((SuiviCouts[[#This Row],[Coût réel/Bloc]]-SuiviCouts[[#This Row],[Coût Cible/Bloc]])/SuiviCouts[[#This Row],[Coût Cible/Bloc]],"")</f>
        <v>0.57381716905225411</v>
      </c>
      <c r="S11" s="42">
        <f>IFERROR(IF(VLOOKUP(SuiviCouts[[#This Row],[Types blocs]],CompositionBlocs[],3,FALSE)="","",VLOOKUP(SuiviCouts[[#This Row],[Types blocs]],CompositionBlocs[],3,FALSE)),"")</f>
        <v>2.5</v>
      </c>
      <c r="T11" s="42">
        <f>IFERROR(SuiviCouts[[#This Row],[Prix de vente]]-SuiviCouts[[#This Row],[Coût réel/Bloc]],"")</f>
        <v>1.3023517012471453</v>
      </c>
      <c r="U11" s="45">
        <f>IFERROR((SuiviCouts[[#This Row],[Marge / Bloc]]-(SuiviCouts[[#This Row],[Prix de vente]]-SuiviCouts[[#This Row],[Coût Cible/Bloc]]))/(SuiviCouts[[#This Row],[Prix de vente]]-SuiviCouts[[#This Row],[Coût Cible/Bloc]]),"")</f>
        <v>-0.25109887326860436</v>
      </c>
    </row>
    <row r="12" spans="2:21" ht="30" customHeight="1" x14ac:dyDescent="0.35">
      <c r="B12" s="38" t="str">
        <f>IF(CompositionBlocs[[#This Row],[Types blocs]]="","",CompositionBlocs[[#This Row],[Types blocs]])</f>
        <v>BLOC a conduit 22 cm</v>
      </c>
      <c r="C12" s="39">
        <f>IFERROR(IF(VLOOKUP(SuiviCouts[[#This Row],[Types blocs]],DeclarationProd[],3,FALSE)="","",VLOOKUP(SuiviCouts[[#This Row],[Types blocs]],DeclarationProd[],3,FALSE)),"")</f>
        <v>6000</v>
      </c>
      <c r="D12" s="40">
        <f>IFERROR(SuiviCouts[[#This Row],[Quantité produite]]*VLOOKUP(SuiviCouts[[#This Row],[Types blocs]],CompositionBlocs[],4,FALSE),"")</f>
        <v>66960</v>
      </c>
      <c r="E12" s="40">
        <f>IFERROR(SuiviCouts[[#This Row],[Quantité produite]]*VLOOKUP(SuiviCouts[[#This Row],[Types blocs]],CompositionBlocs[],5,FALSE),"")</f>
        <v>5040.0000000000009</v>
      </c>
      <c r="F12" s="41">
        <f>IFERROR(ROUNDUP(SuiviCouts[[#This Row],[Quantité produite]]*VLOOKUP(SuiviCouts[[#This Row],[Types blocs]],CompositionBlocs[],6,FALSE),0),"")</f>
        <v>43</v>
      </c>
      <c r="G12" s="40">
        <f>IFERROR(SuiviCouts[[#This Row],[Quantité produite]]*VLOOKUP(SuiviCouts[[#This Row],[Types blocs]],CompositionBlocs[],7,FALSE),"")</f>
        <v>428.57142857142856</v>
      </c>
      <c r="H12" s="42">
        <f>IFERROR(SuiviCouts[[#This Row],[Quantité produite]]*VLOOKUP(SuiviCouts[[#This Row],[Types blocs]],CompositionBlocs[],8,FALSE),"")</f>
        <v>590.82352941176464</v>
      </c>
      <c r="I12" s="43">
        <f>IFERROR(SuiviCouts[[#This Row],[Quantité produite]]*VLOOKUP(SuiviCouts[[#This Row],[Types blocs]],CompositionBlocs[],9,FALSE),"")</f>
        <v>1411.2000000000003</v>
      </c>
      <c r="J12" s="42">
        <f>IFERROR(SuiviCouts[[#This Row],[Quantité produite]]*VLOOKUP(SuiviCouts[[#This Row],[Types blocs]],CompositionBlocs[],10,FALSE),"")</f>
        <v>300</v>
      </c>
      <c r="K12" s="42">
        <f>IFERROR(SuiviCouts[[#This Row],[Quantité produite]]*VLOOKUP(SuiviCouts[[#This Row],[Types blocs]],CompositionBlocs[],11,FALSE),"")</f>
        <v>42.857142857142854</v>
      </c>
      <c r="L12" s="42">
        <f>IF(VLOOKUP(SuiviCouts[[#This Row],[Types blocs]],DeclarationProd[],3,FALSE)="","",SUM(SuiviCouts[[#This Row],[Coût Terre]:[Coût Bande de cerclage]]))</f>
        <v>2344.8806722689073</v>
      </c>
      <c r="M12" s="42">
        <f>IFERROR('Déclaration Consommation'!$D$4*(SuiviCouts[[#This Row],[Quantité produite]]/'Déclaration Production'!$D$4),"")</f>
        <v>103.05734569689946</v>
      </c>
      <c r="N12" s="42">
        <f>IFERROR((SuiviCouts[[#This Row],[Total coût matière]]+SuiviCouts[[#This Row],[Valeur Surconsommation/Saving]])/SuiviCouts[[#This Row],[Quantité produite]],"")</f>
        <v>0.40798966966096784</v>
      </c>
      <c r="O12" s="42">
        <f>IFERROR('Frais de gestion'!$C$5*(SuiviCouts[[#This Row],[Quantité produite]]/'Déclaration Production'!$D$4),"")</f>
        <v>4737.9517745513213</v>
      </c>
      <c r="P12" s="44">
        <f>IFERROR(SuiviCouts[[#This Row],[Coût matière réel / bloc]]+(SuiviCouts[[#This Row],[Frais de gestion imputés]]/SuiviCouts[[#This Row],[Quantité produite]]),"")</f>
        <v>1.1976482987528547</v>
      </c>
      <c r="Q12" s="42">
        <f>IFERROR(VLOOKUP(SuiviCouts[[#This Row],[Types blocs]],CompositionBlocs[],12,FALSE),"")</f>
        <v>0.76098311945222541</v>
      </c>
      <c r="R12" s="45">
        <f>IFERROR((SuiviCouts[[#This Row],[Coût réel/Bloc]]-SuiviCouts[[#This Row],[Coût Cible/Bloc]])/SuiviCouts[[#This Row],[Coût Cible/Bloc]],"")</f>
        <v>0.57381716905225411</v>
      </c>
      <c r="S12" s="42">
        <f>IFERROR(IF(VLOOKUP(SuiviCouts[[#This Row],[Types blocs]],CompositionBlocs[],3,FALSE)="","",VLOOKUP(SuiviCouts[[#This Row],[Types blocs]],CompositionBlocs[],3,FALSE)),"")</f>
        <v>2.6666666666666665</v>
      </c>
      <c r="T12" s="42">
        <f>IFERROR(SuiviCouts[[#This Row],[Prix de vente]]-SuiviCouts[[#This Row],[Coût réel/Bloc]],"")</f>
        <v>1.4690183679138118</v>
      </c>
      <c r="U12" s="45">
        <f>IFERROR((SuiviCouts[[#This Row],[Marge / Bloc]]-(SuiviCouts[[#This Row],[Prix de vente]]-SuiviCouts[[#This Row],[Coût Cible/Bloc]]))/(SuiviCouts[[#This Row],[Prix de vente]]-SuiviCouts[[#This Row],[Coût Cible/Bloc]]),"")</f>
        <v>-0.22913834772772618</v>
      </c>
    </row>
    <row r="13" spans="2:21" ht="30" customHeight="1" x14ac:dyDescent="0.35">
      <c r="B13" s="38" t="str">
        <f>IF(CompositionBlocs[[#This Row],[Types blocs]]="","",CompositionBlocs[[#This Row],[Types blocs]])</f>
        <v>BLOC chaperon 22 cm</v>
      </c>
      <c r="C13" s="39" t="str">
        <f>IFERROR(IF(VLOOKUP(SuiviCouts[[#This Row],[Types blocs]],DeclarationProd[],3,FALSE)="","",VLOOKUP(SuiviCouts[[#This Row],[Types blocs]],DeclarationProd[],3,FALSE)),"")</f>
        <v/>
      </c>
      <c r="D13" s="40" t="str">
        <f>IFERROR(SuiviCouts[[#This Row],[Quantité produite]]*VLOOKUP(SuiviCouts[[#This Row],[Types blocs]],CompositionBlocs[],4,FALSE),"")</f>
        <v/>
      </c>
      <c r="E13" s="40" t="str">
        <f>IFERROR(SuiviCouts[[#This Row],[Quantité produite]]*VLOOKUP(SuiviCouts[[#This Row],[Types blocs]],CompositionBlocs[],5,FALSE),"")</f>
        <v/>
      </c>
      <c r="F13" s="41" t="str">
        <f>IFERROR(ROUNDUP(SuiviCouts[[#This Row],[Quantité produite]]*VLOOKUP(SuiviCouts[[#This Row],[Types blocs]],CompositionBlocs[],6,FALSE),0),"")</f>
        <v/>
      </c>
      <c r="G13" s="40" t="str">
        <f>IFERROR(SuiviCouts[[#This Row],[Quantité produite]]*VLOOKUP(SuiviCouts[[#This Row],[Types blocs]],CompositionBlocs[],7,FALSE),"")</f>
        <v/>
      </c>
      <c r="H13" s="42" t="str">
        <f>IFERROR(SuiviCouts[[#This Row],[Quantité produite]]*VLOOKUP(SuiviCouts[[#This Row],[Types blocs]],CompositionBlocs[],8,FALSE),"")</f>
        <v/>
      </c>
      <c r="I13" s="43" t="str">
        <f>IFERROR(SuiviCouts[[#This Row],[Quantité produite]]*VLOOKUP(SuiviCouts[[#This Row],[Types blocs]],CompositionBlocs[],9,FALSE),"")</f>
        <v/>
      </c>
      <c r="J13" s="42" t="str">
        <f>IFERROR(SuiviCouts[[#This Row],[Quantité produite]]*VLOOKUP(SuiviCouts[[#This Row],[Types blocs]],CompositionBlocs[],10,FALSE),"")</f>
        <v/>
      </c>
      <c r="K13" s="42" t="str">
        <f>IFERROR(SuiviCouts[[#This Row],[Quantité produite]]*VLOOKUP(SuiviCouts[[#This Row],[Types blocs]],CompositionBlocs[],11,FALSE),"")</f>
        <v/>
      </c>
      <c r="L13" s="42" t="str">
        <f>IF(VLOOKUP(SuiviCouts[[#This Row],[Types blocs]],DeclarationProd[],3,FALSE)="","",SUM(SuiviCouts[[#This Row],[Coût Terre]:[Coût Bande de cerclage]]))</f>
        <v/>
      </c>
      <c r="M13" s="42" t="str">
        <f>IFERROR('Déclaration Consommation'!$D$4*(SuiviCouts[[#This Row],[Quantité produite]]/'Déclaration Production'!$D$4),"")</f>
        <v/>
      </c>
      <c r="N13" s="42" t="str">
        <f>IFERROR((SuiviCouts[[#This Row],[Total coût matière]]+SuiviCouts[[#This Row],[Valeur Surconsommation/Saving]])/SuiviCouts[[#This Row],[Quantité produite]],"")</f>
        <v/>
      </c>
      <c r="O13" s="42" t="str">
        <f>IFERROR('Frais de gestion'!$C$5*(SuiviCouts[[#This Row],[Quantité produite]]/'Déclaration Production'!$D$4),"")</f>
        <v/>
      </c>
      <c r="P13" s="44" t="str">
        <f>IFERROR(SuiviCouts[[#This Row],[Coût matière réel / bloc]]+(SuiviCouts[[#This Row],[Frais de gestion imputés]]/SuiviCouts[[#This Row],[Quantité produite]]),"")</f>
        <v/>
      </c>
      <c r="Q13" s="42">
        <f>IFERROR(VLOOKUP(SuiviCouts[[#This Row],[Types blocs]],CompositionBlocs[],12,FALSE),"")</f>
        <v>0.67756547239340181</v>
      </c>
      <c r="R13" s="45" t="str">
        <f>IFERROR((SuiviCouts[[#This Row],[Coût réel/Bloc]]-SuiviCouts[[#This Row],[Coût Cible/Bloc]])/SuiviCouts[[#This Row],[Coût Cible/Bloc]],"")</f>
        <v/>
      </c>
      <c r="S13" s="42">
        <f>IFERROR(IF(VLOOKUP(SuiviCouts[[#This Row],[Types blocs]],CompositionBlocs[],3,FALSE)="","",VLOOKUP(SuiviCouts[[#This Row],[Types blocs]],CompositionBlocs[],3,FALSE)),"")</f>
        <v>2.6666666666666665</v>
      </c>
      <c r="T13" s="42" t="str">
        <f>IFERROR(SuiviCouts[[#This Row],[Prix de vente]]-SuiviCouts[[#This Row],[Coût réel/Bloc]],"")</f>
        <v/>
      </c>
      <c r="U13" s="45" t="str">
        <f>IFERROR((SuiviCouts[[#This Row],[Marge / Bloc]]-(SuiviCouts[[#This Row],[Prix de vente]]-SuiviCouts[[#This Row],[Coût Cible/Bloc]]))/(SuiviCouts[[#This Row],[Prix de vente]]-SuiviCouts[[#This Row],[Coût Cible/Bloc]]),"")</f>
        <v/>
      </c>
    </row>
    <row r="14" spans="2:21" ht="30" customHeight="1" x14ac:dyDescent="0.35">
      <c r="B14" s="38" t="str">
        <f>IF(CompositionBlocs[[#This Row],[Types blocs]]="","",CompositionBlocs[[#This Row],[Types blocs]])</f>
        <v/>
      </c>
      <c r="C14" s="39" t="str">
        <f>IFERROR(IF(VLOOKUP(SuiviCouts[[#This Row],[Types blocs]],DeclarationProd[],3,FALSE)="","",VLOOKUP(SuiviCouts[[#This Row],[Types blocs]],DeclarationProd[],3,FALSE)),"")</f>
        <v/>
      </c>
      <c r="D14" s="40" t="str">
        <f>IFERROR(SuiviCouts[[#This Row],[Quantité produite]]*VLOOKUP(SuiviCouts[[#This Row],[Types blocs]],CompositionBlocs[],4,FALSE),"")</f>
        <v/>
      </c>
      <c r="E14" s="40" t="str">
        <f>IFERROR(SuiviCouts[[#This Row],[Quantité produite]]*VLOOKUP(SuiviCouts[[#This Row],[Types blocs]],CompositionBlocs[],5,FALSE),"")</f>
        <v/>
      </c>
      <c r="F14" s="41" t="str">
        <f>IFERROR(ROUNDUP(SuiviCouts[[#This Row],[Quantité produite]]*VLOOKUP(SuiviCouts[[#This Row],[Types blocs]],CompositionBlocs[],6,FALSE),0),"")</f>
        <v/>
      </c>
      <c r="G14" s="40" t="str">
        <f>IFERROR(SuiviCouts[[#This Row],[Quantité produite]]*VLOOKUP(SuiviCouts[[#This Row],[Types blocs]],CompositionBlocs[],7,FALSE),"")</f>
        <v/>
      </c>
      <c r="H14" s="42" t="str">
        <f>IFERROR(SuiviCouts[[#This Row],[Quantité produite]]*VLOOKUP(SuiviCouts[[#This Row],[Types blocs]],CompositionBlocs[],8,FALSE),"")</f>
        <v/>
      </c>
      <c r="I14" s="43" t="str">
        <f>IFERROR(SuiviCouts[[#This Row],[Quantité produite]]*VLOOKUP(SuiviCouts[[#This Row],[Types blocs]],CompositionBlocs[],9,FALSE),"")</f>
        <v/>
      </c>
      <c r="J14" s="42" t="str">
        <f>IFERROR(SuiviCouts[[#This Row],[Quantité produite]]*VLOOKUP(SuiviCouts[[#This Row],[Types blocs]],CompositionBlocs[],10,FALSE),"")</f>
        <v/>
      </c>
      <c r="K14" s="42" t="str">
        <f>IFERROR(SuiviCouts[[#This Row],[Quantité produite]]*VLOOKUP(SuiviCouts[[#This Row],[Types blocs]],CompositionBlocs[],11,FALSE),"")</f>
        <v/>
      </c>
      <c r="L14" s="42" t="str">
        <f>IF(VLOOKUP(SuiviCouts[[#This Row],[Types blocs]],DeclarationProd[],3,FALSE)="","",SUM(SuiviCouts[[#This Row],[Coût Terre]:[Coût Bande de cerclage]]))</f>
        <v/>
      </c>
      <c r="M14" s="42" t="str">
        <f>IFERROR('Déclaration Consommation'!$D$4*(SuiviCouts[[#This Row],[Quantité produite]]/'Déclaration Production'!$D$4),"")</f>
        <v/>
      </c>
      <c r="N14" s="42" t="str">
        <f>IFERROR((SuiviCouts[[#This Row],[Total coût matière]]+SuiviCouts[[#This Row],[Valeur Surconsommation/Saving]])/SuiviCouts[[#This Row],[Quantité produite]],"")</f>
        <v/>
      </c>
      <c r="O14" s="42" t="str">
        <f>IFERROR('Frais de gestion'!$C$5*(SuiviCouts[[#This Row],[Quantité produite]]/'Déclaration Production'!$D$4),"")</f>
        <v/>
      </c>
      <c r="P14" s="44" t="str">
        <f>IFERROR(SuiviCouts[[#This Row],[Coût matière réel / bloc]]+(SuiviCouts[[#This Row],[Frais de gestion imputés]]/SuiviCouts[[#This Row],[Quantité produite]]),"")</f>
        <v/>
      </c>
      <c r="Q14" s="42" t="str">
        <f>IFERROR(VLOOKUP(SuiviCouts[[#This Row],[Types blocs]],CompositionBlocs[],12,FALSE),"")</f>
        <v/>
      </c>
      <c r="R14" s="45" t="str">
        <f>IFERROR((SuiviCouts[[#This Row],[Coût réel/Bloc]]-SuiviCouts[[#This Row],[Coût Cible/Bloc]])/SuiviCouts[[#This Row],[Coût Cible/Bloc]],"")</f>
        <v/>
      </c>
      <c r="S14" s="42" t="str">
        <f>IFERROR(IF(VLOOKUP(SuiviCouts[[#This Row],[Types blocs]],CompositionBlocs[],3,FALSE)="","",VLOOKUP(SuiviCouts[[#This Row],[Types blocs]],CompositionBlocs[],3,FALSE)),"")</f>
        <v/>
      </c>
      <c r="T14" s="42" t="str">
        <f>IFERROR(SuiviCouts[[#This Row],[Prix de vente]]-SuiviCouts[[#This Row],[Coût réel/Bloc]],"")</f>
        <v/>
      </c>
      <c r="U14" s="45" t="str">
        <f>IFERROR((SuiviCouts[[#This Row],[Marge / Bloc]]-(SuiviCouts[[#This Row],[Prix de vente]]-SuiviCouts[[#This Row],[Coût Cible/Bloc]]))/(SuiviCouts[[#This Row],[Prix de vente]]-SuiviCouts[[#This Row],[Coût Cible/Bloc]]),"")</f>
        <v/>
      </c>
    </row>
    <row r="15" spans="2:21" ht="30" customHeight="1" x14ac:dyDescent="0.35">
      <c r="B15" s="38" t="str">
        <f>IF(CompositionBlocs[[#This Row],[Types blocs]]="","",CompositionBlocs[[#This Row],[Types blocs]])</f>
        <v/>
      </c>
      <c r="C15" s="39" t="str">
        <f>IFERROR(IF(VLOOKUP(SuiviCouts[[#This Row],[Types blocs]],DeclarationProd[],3,FALSE)="","",VLOOKUP(SuiviCouts[[#This Row],[Types blocs]],DeclarationProd[],3,FALSE)),"")</f>
        <v/>
      </c>
      <c r="D15" s="40" t="str">
        <f>IFERROR(SuiviCouts[[#This Row],[Quantité produite]]*VLOOKUP(SuiviCouts[[#This Row],[Types blocs]],CompositionBlocs[],4,FALSE),"")</f>
        <v/>
      </c>
      <c r="E15" s="40" t="str">
        <f>IFERROR(SuiviCouts[[#This Row],[Quantité produite]]*VLOOKUP(SuiviCouts[[#This Row],[Types blocs]],CompositionBlocs[],5,FALSE),"")</f>
        <v/>
      </c>
      <c r="F15" s="41" t="str">
        <f>IFERROR(ROUNDUP(SuiviCouts[[#This Row],[Quantité produite]]*VLOOKUP(SuiviCouts[[#This Row],[Types blocs]],CompositionBlocs[],6,FALSE),0),"")</f>
        <v/>
      </c>
      <c r="G15" s="40" t="str">
        <f>IFERROR(SuiviCouts[[#This Row],[Quantité produite]]*VLOOKUP(SuiviCouts[[#This Row],[Types blocs]],CompositionBlocs[],7,FALSE),"")</f>
        <v/>
      </c>
      <c r="H15" s="42" t="str">
        <f>IFERROR(SuiviCouts[[#This Row],[Quantité produite]]*VLOOKUP(SuiviCouts[[#This Row],[Types blocs]],CompositionBlocs[],8,FALSE),"")</f>
        <v/>
      </c>
      <c r="I15" s="43" t="str">
        <f>IFERROR(SuiviCouts[[#This Row],[Quantité produite]]*VLOOKUP(SuiviCouts[[#This Row],[Types blocs]],CompositionBlocs[],9,FALSE),"")</f>
        <v/>
      </c>
      <c r="J15" s="42" t="str">
        <f>IFERROR(SuiviCouts[[#This Row],[Quantité produite]]*VLOOKUP(SuiviCouts[[#This Row],[Types blocs]],CompositionBlocs[],10,FALSE),"")</f>
        <v/>
      </c>
      <c r="K15" s="42" t="str">
        <f>IFERROR(SuiviCouts[[#This Row],[Quantité produite]]*VLOOKUP(SuiviCouts[[#This Row],[Types blocs]],CompositionBlocs[],11,FALSE),"")</f>
        <v/>
      </c>
      <c r="L15" s="42" t="str">
        <f>IF(VLOOKUP(SuiviCouts[[#This Row],[Types blocs]],DeclarationProd[],3,FALSE)="","",SUM(SuiviCouts[[#This Row],[Coût Terre]:[Coût Bande de cerclage]]))</f>
        <v/>
      </c>
      <c r="M15" s="42" t="str">
        <f>IFERROR('Déclaration Consommation'!$D$4*(SuiviCouts[[#This Row],[Quantité produite]]/'Déclaration Production'!$D$4),"")</f>
        <v/>
      </c>
      <c r="N15" s="42" t="str">
        <f>IFERROR((SuiviCouts[[#This Row],[Total coût matière]]+SuiviCouts[[#This Row],[Valeur Surconsommation/Saving]])/SuiviCouts[[#This Row],[Quantité produite]],"")</f>
        <v/>
      </c>
      <c r="O15" s="42" t="str">
        <f>IFERROR('Frais de gestion'!$C$5*(SuiviCouts[[#This Row],[Quantité produite]]/'Déclaration Production'!$D$4),"")</f>
        <v/>
      </c>
      <c r="P15" s="44" t="str">
        <f>IFERROR(SuiviCouts[[#This Row],[Coût matière réel / bloc]]+(SuiviCouts[[#This Row],[Frais de gestion imputés]]/SuiviCouts[[#This Row],[Quantité produite]]),"")</f>
        <v/>
      </c>
      <c r="Q15" s="42" t="str">
        <f>IFERROR(VLOOKUP(SuiviCouts[[#This Row],[Types blocs]],CompositionBlocs[],12,FALSE),"")</f>
        <v/>
      </c>
      <c r="R15" s="45" t="str">
        <f>IFERROR((SuiviCouts[[#This Row],[Coût réel/Bloc]]-SuiviCouts[[#This Row],[Coût Cible/Bloc]])/SuiviCouts[[#This Row],[Coût Cible/Bloc]],"")</f>
        <v/>
      </c>
      <c r="S15" s="42" t="str">
        <f>IFERROR(IF(VLOOKUP(SuiviCouts[[#This Row],[Types blocs]],CompositionBlocs[],3,FALSE)="","",VLOOKUP(SuiviCouts[[#This Row],[Types blocs]],CompositionBlocs[],3,FALSE)),"")</f>
        <v/>
      </c>
      <c r="T15" s="42" t="str">
        <f>IFERROR(SuiviCouts[[#This Row],[Prix de vente]]-SuiviCouts[[#This Row],[Coût réel/Bloc]],"")</f>
        <v/>
      </c>
      <c r="U15" s="45" t="str">
        <f>IFERROR((SuiviCouts[[#This Row],[Marge / Bloc]]-(SuiviCouts[[#This Row],[Prix de vente]]-SuiviCouts[[#This Row],[Coût Cible/Bloc]]))/(SuiviCouts[[#This Row],[Prix de vente]]-SuiviCouts[[#This Row],[Coût Cible/Bloc]]),"")</f>
        <v/>
      </c>
    </row>
    <row r="16" spans="2:21" ht="30" customHeight="1" x14ac:dyDescent="0.35">
      <c r="B16" s="38" t="str">
        <f>IF(CompositionBlocs[[#This Row],[Types blocs]]="","",CompositionBlocs[[#This Row],[Types blocs]])</f>
        <v/>
      </c>
      <c r="C16" s="39" t="str">
        <f>IFERROR(IF(VLOOKUP(SuiviCouts[[#This Row],[Types blocs]],DeclarationProd[],3,FALSE)="","",VLOOKUP(SuiviCouts[[#This Row],[Types blocs]],DeclarationProd[],3,FALSE)),"")</f>
        <v/>
      </c>
      <c r="D16" s="40" t="str">
        <f>IFERROR(SuiviCouts[[#This Row],[Quantité produite]]*VLOOKUP(SuiviCouts[[#This Row],[Types blocs]],CompositionBlocs[],4,FALSE),"")</f>
        <v/>
      </c>
      <c r="E16" s="40" t="str">
        <f>IFERROR(SuiviCouts[[#This Row],[Quantité produite]]*VLOOKUP(SuiviCouts[[#This Row],[Types blocs]],CompositionBlocs[],5,FALSE),"")</f>
        <v/>
      </c>
      <c r="F16" s="41" t="str">
        <f>IFERROR(ROUNDUP(SuiviCouts[[#This Row],[Quantité produite]]*VLOOKUP(SuiviCouts[[#This Row],[Types blocs]],CompositionBlocs[],6,FALSE),0),"")</f>
        <v/>
      </c>
      <c r="G16" s="40" t="str">
        <f>IFERROR(SuiviCouts[[#This Row],[Quantité produite]]*VLOOKUP(SuiviCouts[[#This Row],[Types blocs]],CompositionBlocs[],7,FALSE),"")</f>
        <v/>
      </c>
      <c r="H16" s="42" t="str">
        <f>IFERROR(SuiviCouts[[#This Row],[Quantité produite]]*VLOOKUP(SuiviCouts[[#This Row],[Types blocs]],CompositionBlocs[],8,FALSE),"")</f>
        <v/>
      </c>
      <c r="I16" s="43" t="str">
        <f>IFERROR(SuiviCouts[[#This Row],[Quantité produite]]*VLOOKUP(SuiviCouts[[#This Row],[Types blocs]],CompositionBlocs[],9,FALSE),"")</f>
        <v/>
      </c>
      <c r="J16" s="42" t="str">
        <f>IFERROR(SuiviCouts[[#This Row],[Quantité produite]]*VLOOKUP(SuiviCouts[[#This Row],[Types blocs]],CompositionBlocs[],10,FALSE),"")</f>
        <v/>
      </c>
      <c r="K16" s="42" t="str">
        <f>IFERROR(SuiviCouts[[#This Row],[Quantité produite]]*VLOOKUP(SuiviCouts[[#This Row],[Types blocs]],CompositionBlocs[],11,FALSE),"")</f>
        <v/>
      </c>
      <c r="L16" s="42" t="str">
        <f>IF(VLOOKUP(SuiviCouts[[#This Row],[Types blocs]],DeclarationProd[],3,FALSE)="","",SUM(SuiviCouts[[#This Row],[Coût Terre]:[Coût Bande de cerclage]]))</f>
        <v/>
      </c>
      <c r="M16" s="42" t="str">
        <f>IFERROR('Déclaration Consommation'!$D$4*(SuiviCouts[[#This Row],[Quantité produite]]/'Déclaration Production'!$D$4),"")</f>
        <v/>
      </c>
      <c r="N16" s="42" t="str">
        <f>IFERROR((SuiviCouts[[#This Row],[Total coût matière]]+SuiviCouts[[#This Row],[Valeur Surconsommation/Saving]])/SuiviCouts[[#This Row],[Quantité produite]],"")</f>
        <v/>
      </c>
      <c r="O16" s="42" t="str">
        <f>IFERROR('Frais de gestion'!$C$5*(SuiviCouts[[#This Row],[Quantité produite]]/'Déclaration Production'!$D$4),"")</f>
        <v/>
      </c>
      <c r="P16" s="44" t="str">
        <f>IFERROR(SuiviCouts[[#This Row],[Coût matière réel / bloc]]+(SuiviCouts[[#This Row],[Frais de gestion imputés]]/SuiviCouts[[#This Row],[Quantité produite]]),"")</f>
        <v/>
      </c>
      <c r="Q16" s="42" t="str">
        <f>IFERROR(VLOOKUP(SuiviCouts[[#This Row],[Types blocs]],CompositionBlocs[],12,FALSE),"")</f>
        <v/>
      </c>
      <c r="R16" s="45" t="str">
        <f>IFERROR((SuiviCouts[[#This Row],[Coût réel/Bloc]]-SuiviCouts[[#This Row],[Coût Cible/Bloc]])/SuiviCouts[[#This Row],[Coût Cible/Bloc]],"")</f>
        <v/>
      </c>
      <c r="S16" s="42" t="str">
        <f>IFERROR(IF(VLOOKUP(SuiviCouts[[#This Row],[Types blocs]],CompositionBlocs[],3,FALSE)="","",VLOOKUP(SuiviCouts[[#This Row],[Types blocs]],CompositionBlocs[],3,FALSE)),"")</f>
        <v/>
      </c>
      <c r="T16" s="42" t="str">
        <f>IFERROR(SuiviCouts[[#This Row],[Prix de vente]]-SuiviCouts[[#This Row],[Coût réel/Bloc]],"")</f>
        <v/>
      </c>
      <c r="U16" s="45" t="str">
        <f>IFERROR((SuiviCouts[[#This Row],[Marge / Bloc]]-(SuiviCouts[[#This Row],[Prix de vente]]-SuiviCouts[[#This Row],[Coût Cible/Bloc]]))/(SuiviCouts[[#This Row],[Prix de vente]]-SuiviCouts[[#This Row],[Coût Cible/Bloc]]),"")</f>
        <v/>
      </c>
    </row>
    <row r="17" spans="2:21" ht="30" customHeight="1" x14ac:dyDescent="0.35">
      <c r="B17" s="38" t="str">
        <f>IF(CompositionBlocs[[#This Row],[Types blocs]]="","",CompositionBlocs[[#This Row],[Types blocs]])</f>
        <v/>
      </c>
      <c r="C17" s="39" t="str">
        <f>IFERROR(IF(VLOOKUP(SuiviCouts[[#This Row],[Types blocs]],DeclarationProd[],3,FALSE)="","",VLOOKUP(SuiviCouts[[#This Row],[Types blocs]],DeclarationProd[],3,FALSE)),"")</f>
        <v/>
      </c>
      <c r="D17" s="40" t="str">
        <f>IFERROR(SuiviCouts[[#This Row],[Quantité produite]]*VLOOKUP(SuiviCouts[[#This Row],[Types blocs]],CompositionBlocs[],4,FALSE),"")</f>
        <v/>
      </c>
      <c r="E17" s="40" t="str">
        <f>IFERROR(SuiviCouts[[#This Row],[Quantité produite]]*VLOOKUP(SuiviCouts[[#This Row],[Types blocs]],CompositionBlocs[],5,FALSE),"")</f>
        <v/>
      </c>
      <c r="F17" s="41" t="str">
        <f>IFERROR(ROUNDUP(SuiviCouts[[#This Row],[Quantité produite]]*VLOOKUP(SuiviCouts[[#This Row],[Types blocs]],CompositionBlocs[],6,FALSE),0),"")</f>
        <v/>
      </c>
      <c r="G17" s="40" t="str">
        <f>IFERROR(SuiviCouts[[#This Row],[Quantité produite]]*VLOOKUP(SuiviCouts[[#This Row],[Types blocs]],CompositionBlocs[],7,FALSE),"")</f>
        <v/>
      </c>
      <c r="H17" s="42" t="str">
        <f>IFERROR(SuiviCouts[[#This Row],[Quantité produite]]*VLOOKUP(SuiviCouts[[#This Row],[Types blocs]],CompositionBlocs[],8,FALSE),"")</f>
        <v/>
      </c>
      <c r="I17" s="43" t="str">
        <f>IFERROR(SuiviCouts[[#This Row],[Quantité produite]]*VLOOKUP(SuiviCouts[[#This Row],[Types blocs]],CompositionBlocs[],9,FALSE),"")</f>
        <v/>
      </c>
      <c r="J17" s="42" t="str">
        <f>IFERROR(SuiviCouts[[#This Row],[Quantité produite]]*VLOOKUP(SuiviCouts[[#This Row],[Types blocs]],CompositionBlocs[],10,FALSE),"")</f>
        <v/>
      </c>
      <c r="K17" s="42" t="str">
        <f>IFERROR(SuiviCouts[[#This Row],[Quantité produite]]*VLOOKUP(SuiviCouts[[#This Row],[Types blocs]],CompositionBlocs[],11,FALSE),"")</f>
        <v/>
      </c>
      <c r="L17" s="42" t="str">
        <f>IF(VLOOKUP(SuiviCouts[[#This Row],[Types blocs]],DeclarationProd[],3,FALSE)="","",SUM(SuiviCouts[[#This Row],[Coût Terre]:[Coût Bande de cerclage]]))</f>
        <v/>
      </c>
      <c r="M17" s="42" t="str">
        <f>IFERROR('Déclaration Consommation'!$D$4*(SuiviCouts[[#This Row],[Quantité produite]]/'Déclaration Production'!$D$4),"")</f>
        <v/>
      </c>
      <c r="N17" s="42" t="str">
        <f>IFERROR((SuiviCouts[[#This Row],[Total coût matière]]+SuiviCouts[[#This Row],[Valeur Surconsommation/Saving]])/SuiviCouts[[#This Row],[Quantité produite]],"")</f>
        <v/>
      </c>
      <c r="O17" s="42" t="str">
        <f>IFERROR('Frais de gestion'!$C$5*(SuiviCouts[[#This Row],[Quantité produite]]/'Déclaration Production'!$D$4),"")</f>
        <v/>
      </c>
      <c r="P17" s="44" t="str">
        <f>IFERROR(SuiviCouts[[#This Row],[Coût matière réel / bloc]]+(SuiviCouts[[#This Row],[Frais de gestion imputés]]/SuiviCouts[[#This Row],[Quantité produite]]),"")</f>
        <v/>
      </c>
      <c r="Q17" s="42" t="str">
        <f>IFERROR(VLOOKUP(SuiviCouts[[#This Row],[Types blocs]],CompositionBlocs[],12,FALSE),"")</f>
        <v/>
      </c>
      <c r="R17" s="45" t="str">
        <f>IFERROR((SuiviCouts[[#This Row],[Coût réel/Bloc]]-SuiviCouts[[#This Row],[Coût Cible/Bloc]])/SuiviCouts[[#This Row],[Coût Cible/Bloc]],"")</f>
        <v/>
      </c>
      <c r="S17" s="42" t="str">
        <f>IFERROR(IF(VLOOKUP(SuiviCouts[[#This Row],[Types blocs]],CompositionBlocs[],3,FALSE)="","",VLOOKUP(SuiviCouts[[#This Row],[Types blocs]],CompositionBlocs[],3,FALSE)),"")</f>
        <v/>
      </c>
      <c r="T17" s="42" t="str">
        <f>IFERROR(SuiviCouts[[#This Row],[Prix de vente]]-SuiviCouts[[#This Row],[Coût réel/Bloc]],"")</f>
        <v/>
      </c>
      <c r="U17" s="45" t="str">
        <f>IFERROR((SuiviCouts[[#This Row],[Marge / Bloc]]-(SuiviCouts[[#This Row],[Prix de vente]]-SuiviCouts[[#This Row],[Coût Cible/Bloc]]))/(SuiviCouts[[#This Row],[Prix de vente]]-SuiviCouts[[#This Row],[Coût Cible/Bloc]]),"")</f>
        <v/>
      </c>
    </row>
    <row r="18" spans="2:21" ht="30" customHeight="1" x14ac:dyDescent="0.35">
      <c r="B18" s="38" t="str">
        <f>IF(CompositionBlocs[[#This Row],[Types blocs]]="","",CompositionBlocs[[#This Row],[Types blocs]])</f>
        <v/>
      </c>
      <c r="C18" s="39" t="str">
        <f>IFERROR(IF(VLOOKUP(SuiviCouts[[#This Row],[Types blocs]],DeclarationProd[],3,FALSE)="","",VLOOKUP(SuiviCouts[[#This Row],[Types blocs]],DeclarationProd[],3,FALSE)),"")</f>
        <v/>
      </c>
      <c r="D18" s="40" t="str">
        <f>IFERROR(SuiviCouts[[#This Row],[Quantité produite]]*VLOOKUP(SuiviCouts[[#This Row],[Types blocs]],CompositionBlocs[],4,FALSE),"")</f>
        <v/>
      </c>
      <c r="E18" s="40" t="str">
        <f>IFERROR(SuiviCouts[[#This Row],[Quantité produite]]*VLOOKUP(SuiviCouts[[#This Row],[Types blocs]],CompositionBlocs[],5,FALSE),"")</f>
        <v/>
      </c>
      <c r="F18" s="41" t="str">
        <f>IFERROR(ROUNDUP(SuiviCouts[[#This Row],[Quantité produite]]*VLOOKUP(SuiviCouts[[#This Row],[Types blocs]],CompositionBlocs[],6,FALSE),0),"")</f>
        <v/>
      </c>
      <c r="G18" s="40" t="str">
        <f>IFERROR(SuiviCouts[[#This Row],[Quantité produite]]*VLOOKUP(SuiviCouts[[#This Row],[Types blocs]],CompositionBlocs[],7,FALSE),"")</f>
        <v/>
      </c>
      <c r="H18" s="42" t="str">
        <f>IFERROR(SuiviCouts[[#This Row],[Quantité produite]]*VLOOKUP(SuiviCouts[[#This Row],[Types blocs]],CompositionBlocs[],8,FALSE),"")</f>
        <v/>
      </c>
      <c r="I18" s="43" t="str">
        <f>IFERROR(SuiviCouts[[#This Row],[Quantité produite]]*VLOOKUP(SuiviCouts[[#This Row],[Types blocs]],CompositionBlocs[],9,FALSE),"")</f>
        <v/>
      </c>
      <c r="J18" s="42" t="str">
        <f>IFERROR(SuiviCouts[[#This Row],[Quantité produite]]*VLOOKUP(SuiviCouts[[#This Row],[Types blocs]],CompositionBlocs[],10,FALSE),"")</f>
        <v/>
      </c>
      <c r="K18" s="42" t="str">
        <f>IFERROR(SuiviCouts[[#This Row],[Quantité produite]]*VLOOKUP(SuiviCouts[[#This Row],[Types blocs]],CompositionBlocs[],11,FALSE),"")</f>
        <v/>
      </c>
      <c r="L18" s="42" t="str">
        <f>IF(VLOOKUP(SuiviCouts[[#This Row],[Types blocs]],DeclarationProd[],3,FALSE)="","",SUM(SuiviCouts[[#This Row],[Coût Terre]:[Coût Bande de cerclage]]))</f>
        <v/>
      </c>
      <c r="M18" s="42" t="str">
        <f>IFERROR('Déclaration Consommation'!$D$4*(SuiviCouts[[#This Row],[Quantité produite]]/'Déclaration Production'!$D$4),"")</f>
        <v/>
      </c>
      <c r="N18" s="42" t="str">
        <f>IFERROR((SuiviCouts[[#This Row],[Total coût matière]]+SuiviCouts[[#This Row],[Valeur Surconsommation/Saving]])/SuiviCouts[[#This Row],[Quantité produite]],"")</f>
        <v/>
      </c>
      <c r="O18" s="42" t="str">
        <f>IFERROR('Frais de gestion'!$C$5*(SuiviCouts[[#This Row],[Quantité produite]]/'Déclaration Production'!$D$4),"")</f>
        <v/>
      </c>
      <c r="P18" s="44" t="str">
        <f>IFERROR(SuiviCouts[[#This Row],[Coût matière réel / bloc]]+(SuiviCouts[[#This Row],[Frais de gestion imputés]]/SuiviCouts[[#This Row],[Quantité produite]]),"")</f>
        <v/>
      </c>
      <c r="Q18" s="42" t="str">
        <f>IFERROR(VLOOKUP(SuiviCouts[[#This Row],[Types blocs]],CompositionBlocs[],12,FALSE),"")</f>
        <v/>
      </c>
      <c r="R18" s="45" t="str">
        <f>IFERROR((SuiviCouts[[#This Row],[Coût réel/Bloc]]-SuiviCouts[[#This Row],[Coût Cible/Bloc]])/SuiviCouts[[#This Row],[Coût Cible/Bloc]],"")</f>
        <v/>
      </c>
      <c r="S18" s="42" t="str">
        <f>IFERROR(IF(VLOOKUP(SuiviCouts[[#This Row],[Types blocs]],CompositionBlocs[],3,FALSE)="","",VLOOKUP(SuiviCouts[[#This Row],[Types blocs]],CompositionBlocs[],3,FALSE)),"")</f>
        <v/>
      </c>
      <c r="T18" s="42" t="str">
        <f>IFERROR(SuiviCouts[[#This Row],[Prix de vente]]-SuiviCouts[[#This Row],[Coût réel/Bloc]],"")</f>
        <v/>
      </c>
      <c r="U18" s="45" t="str">
        <f>IFERROR((SuiviCouts[[#This Row],[Marge / Bloc]]-(SuiviCouts[[#This Row],[Prix de vente]]-SuiviCouts[[#This Row],[Coût Cible/Bloc]]))/(SuiviCouts[[#This Row],[Prix de vente]]-SuiviCouts[[#This Row],[Coût Cible/Bloc]]),"")</f>
        <v/>
      </c>
    </row>
    <row r="19" spans="2:21" ht="30" customHeight="1" x14ac:dyDescent="0.35">
      <c r="B19" s="38" t="str">
        <f>IF(CompositionBlocs[[#This Row],[Types blocs]]="","",CompositionBlocs[[#This Row],[Types blocs]])</f>
        <v/>
      </c>
      <c r="C19" s="39" t="str">
        <f>IFERROR(IF(VLOOKUP(SuiviCouts[[#This Row],[Types blocs]],DeclarationProd[],3,FALSE)="","",VLOOKUP(SuiviCouts[[#This Row],[Types blocs]],DeclarationProd[],3,FALSE)),"")</f>
        <v/>
      </c>
      <c r="D19" s="40" t="str">
        <f>IFERROR(SuiviCouts[[#This Row],[Quantité produite]]*VLOOKUP(SuiviCouts[[#This Row],[Types blocs]],CompositionBlocs[],4,FALSE),"")</f>
        <v/>
      </c>
      <c r="E19" s="40" t="str">
        <f>IFERROR(SuiviCouts[[#This Row],[Quantité produite]]*VLOOKUP(SuiviCouts[[#This Row],[Types blocs]],CompositionBlocs[],5,FALSE),"")</f>
        <v/>
      </c>
      <c r="F19" s="41" t="str">
        <f>IFERROR(ROUNDUP(SuiviCouts[[#This Row],[Quantité produite]]*VLOOKUP(SuiviCouts[[#This Row],[Types blocs]],CompositionBlocs[],6,FALSE),0),"")</f>
        <v/>
      </c>
      <c r="G19" s="40" t="str">
        <f>IFERROR(SuiviCouts[[#This Row],[Quantité produite]]*VLOOKUP(SuiviCouts[[#This Row],[Types blocs]],CompositionBlocs[],7,FALSE),"")</f>
        <v/>
      </c>
      <c r="H19" s="42" t="str">
        <f>IFERROR(SuiviCouts[[#This Row],[Quantité produite]]*VLOOKUP(SuiviCouts[[#This Row],[Types blocs]],CompositionBlocs[],8,FALSE),"")</f>
        <v/>
      </c>
      <c r="I19" s="43" t="str">
        <f>IFERROR(SuiviCouts[[#This Row],[Quantité produite]]*VLOOKUP(SuiviCouts[[#This Row],[Types blocs]],CompositionBlocs[],9,FALSE),"")</f>
        <v/>
      </c>
      <c r="J19" s="42" t="str">
        <f>IFERROR(SuiviCouts[[#This Row],[Quantité produite]]*VLOOKUP(SuiviCouts[[#This Row],[Types blocs]],CompositionBlocs[],10,FALSE),"")</f>
        <v/>
      </c>
      <c r="K19" s="42" t="str">
        <f>IFERROR(SuiviCouts[[#This Row],[Quantité produite]]*VLOOKUP(SuiviCouts[[#This Row],[Types blocs]],CompositionBlocs[],11,FALSE),"")</f>
        <v/>
      </c>
      <c r="L19" s="42" t="str">
        <f>IF(VLOOKUP(SuiviCouts[[#This Row],[Types blocs]],DeclarationProd[],3,FALSE)="","",SUM(SuiviCouts[[#This Row],[Coût Terre]:[Coût Bande de cerclage]]))</f>
        <v/>
      </c>
      <c r="M19" s="42" t="str">
        <f>IFERROR('Déclaration Consommation'!$D$4*(SuiviCouts[[#This Row],[Quantité produite]]/'Déclaration Production'!$D$4),"")</f>
        <v/>
      </c>
      <c r="N19" s="42" t="str">
        <f>IFERROR((SuiviCouts[[#This Row],[Total coût matière]]+SuiviCouts[[#This Row],[Valeur Surconsommation/Saving]])/SuiviCouts[[#This Row],[Quantité produite]],"")</f>
        <v/>
      </c>
      <c r="O19" s="42" t="str">
        <f>IFERROR('Frais de gestion'!$C$5*(SuiviCouts[[#This Row],[Quantité produite]]/'Déclaration Production'!$D$4),"")</f>
        <v/>
      </c>
      <c r="P19" s="44" t="str">
        <f>IFERROR(SuiviCouts[[#This Row],[Coût matière réel / bloc]]+(SuiviCouts[[#This Row],[Frais de gestion imputés]]/SuiviCouts[[#This Row],[Quantité produite]]),"")</f>
        <v/>
      </c>
      <c r="Q19" s="42" t="str">
        <f>IFERROR(VLOOKUP(SuiviCouts[[#This Row],[Types blocs]],CompositionBlocs[],12,FALSE),"")</f>
        <v/>
      </c>
      <c r="R19" s="45" t="str">
        <f>IFERROR((SuiviCouts[[#This Row],[Coût réel/Bloc]]-SuiviCouts[[#This Row],[Coût Cible/Bloc]])/SuiviCouts[[#This Row],[Coût Cible/Bloc]],"")</f>
        <v/>
      </c>
      <c r="S19" s="42" t="str">
        <f>IFERROR(IF(VLOOKUP(SuiviCouts[[#This Row],[Types blocs]],CompositionBlocs[],3,FALSE)="","",VLOOKUP(SuiviCouts[[#This Row],[Types blocs]],CompositionBlocs[],3,FALSE)),"")</f>
        <v/>
      </c>
      <c r="T19" s="42" t="str">
        <f>IFERROR(SuiviCouts[[#This Row],[Prix de vente]]-SuiviCouts[[#This Row],[Coût réel/Bloc]],"")</f>
        <v/>
      </c>
      <c r="U19" s="45" t="str">
        <f>IFERROR((SuiviCouts[[#This Row],[Marge / Bloc]]-(SuiviCouts[[#This Row],[Prix de vente]]-SuiviCouts[[#This Row],[Coût Cible/Bloc]]))/(SuiviCouts[[#This Row],[Prix de vente]]-SuiviCouts[[#This Row],[Coût Cible/Bloc]]),"")</f>
        <v/>
      </c>
    </row>
    <row r="20" spans="2:21" ht="30" customHeight="1" x14ac:dyDescent="0.35">
      <c r="B20" s="38" t="str">
        <f>IF(CompositionBlocs[[#This Row],[Types blocs]]="","",CompositionBlocs[[#This Row],[Types blocs]])</f>
        <v/>
      </c>
      <c r="C20" s="39" t="str">
        <f>IFERROR(IF(VLOOKUP(SuiviCouts[[#This Row],[Types blocs]],DeclarationProd[],3,FALSE)="","",VLOOKUP(SuiviCouts[[#This Row],[Types blocs]],DeclarationProd[],3,FALSE)),"")</f>
        <v/>
      </c>
      <c r="D20" s="40" t="str">
        <f>IFERROR(SuiviCouts[[#This Row],[Quantité produite]]*VLOOKUP(SuiviCouts[[#This Row],[Types blocs]],CompositionBlocs[],4,FALSE),"")</f>
        <v/>
      </c>
      <c r="E20" s="40" t="str">
        <f>IFERROR(SuiviCouts[[#This Row],[Quantité produite]]*VLOOKUP(SuiviCouts[[#This Row],[Types blocs]],CompositionBlocs[],5,FALSE),"")</f>
        <v/>
      </c>
      <c r="F20" s="41" t="str">
        <f>IFERROR(ROUNDUP(SuiviCouts[[#This Row],[Quantité produite]]*VLOOKUP(SuiviCouts[[#This Row],[Types blocs]],CompositionBlocs[],6,FALSE),0),"")</f>
        <v/>
      </c>
      <c r="G20" s="40" t="str">
        <f>IFERROR(SuiviCouts[[#This Row],[Quantité produite]]*VLOOKUP(SuiviCouts[[#This Row],[Types blocs]],CompositionBlocs[],7,FALSE),"")</f>
        <v/>
      </c>
      <c r="H20" s="42" t="str">
        <f>IFERROR(SuiviCouts[[#This Row],[Quantité produite]]*VLOOKUP(SuiviCouts[[#This Row],[Types blocs]],CompositionBlocs[],8,FALSE),"")</f>
        <v/>
      </c>
      <c r="I20" s="43" t="str">
        <f>IFERROR(SuiviCouts[[#This Row],[Quantité produite]]*VLOOKUP(SuiviCouts[[#This Row],[Types blocs]],CompositionBlocs[],9,FALSE),"")</f>
        <v/>
      </c>
      <c r="J20" s="42" t="str">
        <f>IFERROR(SuiviCouts[[#This Row],[Quantité produite]]*VLOOKUP(SuiviCouts[[#This Row],[Types blocs]],CompositionBlocs[],10,FALSE),"")</f>
        <v/>
      </c>
      <c r="K20" s="42" t="str">
        <f>IFERROR(SuiviCouts[[#This Row],[Quantité produite]]*VLOOKUP(SuiviCouts[[#This Row],[Types blocs]],CompositionBlocs[],11,FALSE),"")</f>
        <v/>
      </c>
      <c r="L20" s="42" t="str">
        <f>IF(VLOOKUP(SuiviCouts[[#This Row],[Types blocs]],DeclarationProd[],3,FALSE)="","",SUM(SuiviCouts[[#This Row],[Coût Terre]:[Coût Bande de cerclage]]))</f>
        <v/>
      </c>
      <c r="M20" s="42" t="str">
        <f>IFERROR('Déclaration Consommation'!$D$4*(SuiviCouts[[#This Row],[Quantité produite]]/'Déclaration Production'!$D$4),"")</f>
        <v/>
      </c>
      <c r="N20" s="42" t="str">
        <f>IFERROR((SuiviCouts[[#This Row],[Total coût matière]]+SuiviCouts[[#This Row],[Valeur Surconsommation/Saving]])/SuiviCouts[[#This Row],[Quantité produite]],"")</f>
        <v/>
      </c>
      <c r="O20" s="42" t="str">
        <f>IFERROR('Frais de gestion'!$C$5*(SuiviCouts[[#This Row],[Quantité produite]]/'Déclaration Production'!$D$4),"")</f>
        <v/>
      </c>
      <c r="P20" s="44" t="str">
        <f>IFERROR(SuiviCouts[[#This Row],[Coût matière réel / bloc]]+(SuiviCouts[[#This Row],[Frais de gestion imputés]]/SuiviCouts[[#This Row],[Quantité produite]]),"")</f>
        <v/>
      </c>
      <c r="Q20" s="42" t="str">
        <f>IFERROR(VLOOKUP(SuiviCouts[[#This Row],[Types blocs]],CompositionBlocs[],12,FALSE),"")</f>
        <v/>
      </c>
      <c r="R20" s="45" t="str">
        <f>IFERROR((SuiviCouts[[#This Row],[Coût réel/Bloc]]-SuiviCouts[[#This Row],[Coût Cible/Bloc]])/SuiviCouts[[#This Row],[Coût Cible/Bloc]],"")</f>
        <v/>
      </c>
      <c r="S20" s="42" t="str">
        <f>IFERROR(IF(VLOOKUP(SuiviCouts[[#This Row],[Types blocs]],CompositionBlocs[],3,FALSE)="","",VLOOKUP(SuiviCouts[[#This Row],[Types blocs]],CompositionBlocs[],3,FALSE)),"")</f>
        <v/>
      </c>
      <c r="T20" s="42" t="str">
        <f>IFERROR(SuiviCouts[[#This Row],[Prix de vente]]-SuiviCouts[[#This Row],[Coût réel/Bloc]],"")</f>
        <v/>
      </c>
      <c r="U20" s="45" t="str">
        <f>IFERROR((SuiviCouts[[#This Row],[Marge / Bloc]]-(SuiviCouts[[#This Row],[Prix de vente]]-SuiviCouts[[#This Row],[Coût Cible/Bloc]]))/(SuiviCouts[[#This Row],[Prix de vente]]-SuiviCouts[[#This Row],[Coût Cible/Bloc]]),"")</f>
        <v/>
      </c>
    </row>
    <row r="21" spans="2:21" ht="30" customHeight="1" x14ac:dyDescent="0.35">
      <c r="B21" s="38" t="str">
        <f>IF(CompositionBlocs[[#This Row],[Types blocs]]="","",CompositionBlocs[[#This Row],[Types blocs]])</f>
        <v/>
      </c>
      <c r="C21" s="39" t="str">
        <f>IFERROR(IF(VLOOKUP(SuiviCouts[[#This Row],[Types blocs]],DeclarationProd[],3,FALSE)="","",VLOOKUP(SuiviCouts[[#This Row],[Types blocs]],DeclarationProd[],3,FALSE)),"")</f>
        <v/>
      </c>
      <c r="D21" s="40" t="str">
        <f>IFERROR(SuiviCouts[[#This Row],[Quantité produite]]*VLOOKUP(SuiviCouts[[#This Row],[Types blocs]],CompositionBlocs[],4,FALSE),"")</f>
        <v/>
      </c>
      <c r="E21" s="40" t="str">
        <f>IFERROR(SuiviCouts[[#This Row],[Quantité produite]]*VLOOKUP(SuiviCouts[[#This Row],[Types blocs]],CompositionBlocs[],5,FALSE),"")</f>
        <v/>
      </c>
      <c r="F21" s="41" t="str">
        <f>IFERROR(ROUNDUP(SuiviCouts[[#This Row],[Quantité produite]]*VLOOKUP(SuiviCouts[[#This Row],[Types blocs]],CompositionBlocs[],6,FALSE),0),"")</f>
        <v/>
      </c>
      <c r="G21" s="40" t="str">
        <f>IFERROR(SuiviCouts[[#This Row],[Quantité produite]]*VLOOKUP(SuiviCouts[[#This Row],[Types blocs]],CompositionBlocs[],7,FALSE),"")</f>
        <v/>
      </c>
      <c r="H21" s="42" t="str">
        <f>IFERROR(SuiviCouts[[#This Row],[Quantité produite]]*VLOOKUP(SuiviCouts[[#This Row],[Types blocs]],CompositionBlocs[],8,FALSE),"")</f>
        <v/>
      </c>
      <c r="I21" s="43" t="str">
        <f>IFERROR(SuiviCouts[[#This Row],[Quantité produite]]*VLOOKUP(SuiviCouts[[#This Row],[Types blocs]],CompositionBlocs[],9,FALSE),"")</f>
        <v/>
      </c>
      <c r="J21" s="42" t="str">
        <f>IFERROR(SuiviCouts[[#This Row],[Quantité produite]]*VLOOKUP(SuiviCouts[[#This Row],[Types blocs]],CompositionBlocs[],10,FALSE),"")</f>
        <v/>
      </c>
      <c r="K21" s="42" t="str">
        <f>IFERROR(SuiviCouts[[#This Row],[Quantité produite]]*VLOOKUP(SuiviCouts[[#This Row],[Types blocs]],CompositionBlocs[],11,FALSE),"")</f>
        <v/>
      </c>
      <c r="L21" s="42" t="str">
        <f>IF(VLOOKUP(SuiviCouts[[#This Row],[Types blocs]],DeclarationProd[],3,FALSE)="","",SUM(SuiviCouts[[#This Row],[Coût Terre]:[Coût Bande de cerclage]]))</f>
        <v/>
      </c>
      <c r="M21" s="42" t="str">
        <f>IFERROR('Déclaration Consommation'!$D$4*(SuiviCouts[[#This Row],[Quantité produite]]/'Déclaration Production'!$D$4),"")</f>
        <v/>
      </c>
      <c r="N21" s="42" t="str">
        <f>IFERROR((SuiviCouts[[#This Row],[Total coût matière]]+SuiviCouts[[#This Row],[Valeur Surconsommation/Saving]])/SuiviCouts[[#This Row],[Quantité produite]],"")</f>
        <v/>
      </c>
      <c r="O21" s="42" t="str">
        <f>IFERROR('Frais de gestion'!$C$5*(SuiviCouts[[#This Row],[Quantité produite]]/'Déclaration Production'!$D$4),"")</f>
        <v/>
      </c>
      <c r="P21" s="44" t="str">
        <f>IFERROR(SuiviCouts[[#This Row],[Coût matière réel / bloc]]+(SuiviCouts[[#This Row],[Frais de gestion imputés]]/SuiviCouts[[#This Row],[Quantité produite]]),"")</f>
        <v/>
      </c>
      <c r="Q21" s="42" t="str">
        <f>IFERROR(VLOOKUP(SuiviCouts[[#This Row],[Types blocs]],CompositionBlocs[],12,FALSE),"")</f>
        <v/>
      </c>
      <c r="R21" s="45" t="str">
        <f>IFERROR((SuiviCouts[[#This Row],[Coût réel/Bloc]]-SuiviCouts[[#This Row],[Coût Cible/Bloc]])/SuiviCouts[[#This Row],[Coût Cible/Bloc]],"")</f>
        <v/>
      </c>
      <c r="S21" s="42" t="str">
        <f>IFERROR(IF(VLOOKUP(SuiviCouts[[#This Row],[Types blocs]],CompositionBlocs[],3,FALSE)="","",VLOOKUP(SuiviCouts[[#This Row],[Types blocs]],CompositionBlocs[],3,FALSE)),"")</f>
        <v/>
      </c>
      <c r="T21" s="42" t="str">
        <f>IFERROR(SuiviCouts[[#This Row],[Prix de vente]]-SuiviCouts[[#This Row],[Coût réel/Bloc]],"")</f>
        <v/>
      </c>
      <c r="U21" s="45" t="str">
        <f>IFERROR((SuiviCouts[[#This Row],[Marge / Bloc]]-(SuiviCouts[[#This Row],[Prix de vente]]-SuiviCouts[[#This Row],[Coût Cible/Bloc]]))/(SuiviCouts[[#This Row],[Prix de vente]]-SuiviCouts[[#This Row],[Coût Cible/Bloc]]),"")</f>
        <v/>
      </c>
    </row>
    <row r="22" spans="2:21" ht="30" customHeight="1" x14ac:dyDescent="0.35">
      <c r="B22" s="38" t="str">
        <f>IF(CompositionBlocs[[#This Row],[Types blocs]]="","",CompositionBlocs[[#This Row],[Types blocs]])</f>
        <v/>
      </c>
      <c r="C22" s="39" t="str">
        <f>IFERROR(IF(VLOOKUP(SuiviCouts[[#This Row],[Types blocs]],DeclarationProd[],3,FALSE)="","",VLOOKUP(SuiviCouts[[#This Row],[Types blocs]],DeclarationProd[],3,FALSE)),"")</f>
        <v/>
      </c>
      <c r="D22" s="40" t="str">
        <f>IFERROR(SuiviCouts[[#This Row],[Quantité produite]]*VLOOKUP(SuiviCouts[[#This Row],[Types blocs]],CompositionBlocs[],4,FALSE),"")</f>
        <v/>
      </c>
      <c r="E22" s="40" t="str">
        <f>IFERROR(SuiviCouts[[#This Row],[Quantité produite]]*VLOOKUP(SuiviCouts[[#This Row],[Types blocs]],CompositionBlocs[],5,FALSE),"")</f>
        <v/>
      </c>
      <c r="F22" s="41" t="str">
        <f>IFERROR(ROUNDUP(SuiviCouts[[#This Row],[Quantité produite]]*VLOOKUP(SuiviCouts[[#This Row],[Types blocs]],CompositionBlocs[],6,FALSE),0),"")</f>
        <v/>
      </c>
      <c r="G22" s="40" t="str">
        <f>IFERROR(SuiviCouts[[#This Row],[Quantité produite]]*VLOOKUP(SuiviCouts[[#This Row],[Types blocs]],CompositionBlocs[],7,FALSE),"")</f>
        <v/>
      </c>
      <c r="H22" s="42" t="str">
        <f>IFERROR(SuiviCouts[[#This Row],[Quantité produite]]*VLOOKUP(SuiviCouts[[#This Row],[Types blocs]],CompositionBlocs[],8,FALSE),"")</f>
        <v/>
      </c>
      <c r="I22" s="43" t="str">
        <f>IFERROR(SuiviCouts[[#This Row],[Quantité produite]]*VLOOKUP(SuiviCouts[[#This Row],[Types blocs]],CompositionBlocs[],9,FALSE),"")</f>
        <v/>
      </c>
      <c r="J22" s="42" t="str">
        <f>IFERROR(SuiviCouts[[#This Row],[Quantité produite]]*VLOOKUP(SuiviCouts[[#This Row],[Types blocs]],CompositionBlocs[],10,FALSE),"")</f>
        <v/>
      </c>
      <c r="K22" s="42" t="str">
        <f>IFERROR(SuiviCouts[[#This Row],[Quantité produite]]*VLOOKUP(SuiviCouts[[#This Row],[Types blocs]],CompositionBlocs[],11,FALSE),"")</f>
        <v/>
      </c>
      <c r="L22" s="42" t="str">
        <f>IF(VLOOKUP(SuiviCouts[[#This Row],[Types blocs]],DeclarationProd[],3,FALSE)="","",SUM(SuiviCouts[[#This Row],[Coût Terre]:[Coût Bande de cerclage]]))</f>
        <v/>
      </c>
      <c r="M22" s="42" t="str">
        <f>IFERROR('Déclaration Consommation'!$D$4*(SuiviCouts[[#This Row],[Quantité produite]]/'Déclaration Production'!$D$4),"")</f>
        <v/>
      </c>
      <c r="N22" s="42" t="str">
        <f>IFERROR((SuiviCouts[[#This Row],[Total coût matière]]+SuiviCouts[[#This Row],[Valeur Surconsommation/Saving]])/SuiviCouts[[#This Row],[Quantité produite]],"")</f>
        <v/>
      </c>
      <c r="O22" s="42" t="str">
        <f>IFERROR('Frais de gestion'!$C$5*(SuiviCouts[[#This Row],[Quantité produite]]/'Déclaration Production'!$D$4),"")</f>
        <v/>
      </c>
      <c r="P22" s="44" t="str">
        <f>IFERROR(SuiviCouts[[#This Row],[Coût matière réel / bloc]]+(SuiviCouts[[#This Row],[Frais de gestion imputés]]/SuiviCouts[[#This Row],[Quantité produite]]),"")</f>
        <v/>
      </c>
      <c r="Q22" s="42" t="str">
        <f>IFERROR(VLOOKUP(SuiviCouts[[#This Row],[Types blocs]],CompositionBlocs[],12,FALSE),"")</f>
        <v/>
      </c>
      <c r="R22" s="45" t="str">
        <f>IFERROR((SuiviCouts[[#This Row],[Coût réel/Bloc]]-SuiviCouts[[#This Row],[Coût Cible/Bloc]])/SuiviCouts[[#This Row],[Coût Cible/Bloc]],"")</f>
        <v/>
      </c>
      <c r="S22" s="42" t="str">
        <f>IFERROR(IF(VLOOKUP(SuiviCouts[[#This Row],[Types blocs]],CompositionBlocs[],3,FALSE)="","",VLOOKUP(SuiviCouts[[#This Row],[Types blocs]],CompositionBlocs[],3,FALSE)),"")</f>
        <v/>
      </c>
      <c r="T22" s="42" t="str">
        <f>IFERROR(SuiviCouts[[#This Row],[Prix de vente]]-SuiviCouts[[#This Row],[Coût réel/Bloc]],"")</f>
        <v/>
      </c>
      <c r="U22" s="45" t="str">
        <f>IFERROR((SuiviCouts[[#This Row],[Marge / Bloc]]-(SuiviCouts[[#This Row],[Prix de vente]]-SuiviCouts[[#This Row],[Coût Cible/Bloc]]))/(SuiviCouts[[#This Row],[Prix de vente]]-SuiviCouts[[#This Row],[Coût Cible/Bloc]]),"")</f>
        <v/>
      </c>
    </row>
    <row r="23" spans="2:21" ht="30" customHeight="1" x14ac:dyDescent="0.35">
      <c r="B23" s="38" t="str">
        <f>IF(CompositionBlocs[[#This Row],[Types blocs]]="","",CompositionBlocs[[#This Row],[Types blocs]])</f>
        <v/>
      </c>
      <c r="C23" s="39" t="str">
        <f>IFERROR(IF(VLOOKUP(SuiviCouts[[#This Row],[Types blocs]],DeclarationProd[],3,FALSE)="","",VLOOKUP(SuiviCouts[[#This Row],[Types blocs]],DeclarationProd[],3,FALSE)),"")</f>
        <v/>
      </c>
      <c r="D23" s="40" t="str">
        <f>IFERROR(SuiviCouts[[#This Row],[Quantité produite]]*VLOOKUP(SuiviCouts[[#This Row],[Types blocs]],CompositionBlocs[],4,FALSE),"")</f>
        <v/>
      </c>
      <c r="E23" s="40" t="str">
        <f>IFERROR(SuiviCouts[[#This Row],[Quantité produite]]*VLOOKUP(SuiviCouts[[#This Row],[Types blocs]],CompositionBlocs[],5,FALSE),"")</f>
        <v/>
      </c>
      <c r="F23" s="41" t="str">
        <f>IFERROR(ROUNDUP(SuiviCouts[[#This Row],[Quantité produite]]*VLOOKUP(SuiviCouts[[#This Row],[Types blocs]],CompositionBlocs[],6,FALSE),0),"")</f>
        <v/>
      </c>
      <c r="G23" s="40" t="str">
        <f>IFERROR(SuiviCouts[[#This Row],[Quantité produite]]*VLOOKUP(SuiviCouts[[#This Row],[Types blocs]],CompositionBlocs[],7,FALSE),"")</f>
        <v/>
      </c>
      <c r="H23" s="42" t="str">
        <f>IFERROR(SuiviCouts[[#This Row],[Quantité produite]]*VLOOKUP(SuiviCouts[[#This Row],[Types blocs]],CompositionBlocs[],8,FALSE),"")</f>
        <v/>
      </c>
      <c r="I23" s="43" t="str">
        <f>IFERROR(SuiviCouts[[#This Row],[Quantité produite]]*VLOOKUP(SuiviCouts[[#This Row],[Types blocs]],CompositionBlocs[],9,FALSE),"")</f>
        <v/>
      </c>
      <c r="J23" s="42" t="str">
        <f>IFERROR(SuiviCouts[[#This Row],[Quantité produite]]*VLOOKUP(SuiviCouts[[#This Row],[Types blocs]],CompositionBlocs[],10,FALSE),"")</f>
        <v/>
      </c>
      <c r="K23" s="42" t="str">
        <f>IFERROR(SuiviCouts[[#This Row],[Quantité produite]]*VLOOKUP(SuiviCouts[[#This Row],[Types blocs]],CompositionBlocs[],11,FALSE),"")</f>
        <v/>
      </c>
      <c r="L23" s="42" t="str">
        <f>IF(VLOOKUP(SuiviCouts[[#This Row],[Types blocs]],DeclarationProd[],3,FALSE)="","",SUM(SuiviCouts[[#This Row],[Coût Terre]:[Coût Bande de cerclage]]))</f>
        <v/>
      </c>
      <c r="M23" s="42" t="str">
        <f>IFERROR('Déclaration Consommation'!$D$4*(SuiviCouts[[#This Row],[Quantité produite]]/'Déclaration Production'!$D$4),"")</f>
        <v/>
      </c>
      <c r="N23" s="42" t="str">
        <f>IFERROR((SuiviCouts[[#This Row],[Total coût matière]]+SuiviCouts[[#This Row],[Valeur Surconsommation/Saving]])/SuiviCouts[[#This Row],[Quantité produite]],"")</f>
        <v/>
      </c>
      <c r="O23" s="42" t="str">
        <f>IFERROR('Frais de gestion'!$C$5*(SuiviCouts[[#This Row],[Quantité produite]]/'Déclaration Production'!$D$4),"")</f>
        <v/>
      </c>
      <c r="P23" s="44" t="str">
        <f>IFERROR(SuiviCouts[[#This Row],[Coût matière réel / bloc]]+(SuiviCouts[[#This Row],[Frais de gestion imputés]]/SuiviCouts[[#This Row],[Quantité produite]]),"")</f>
        <v/>
      </c>
      <c r="Q23" s="42" t="str">
        <f>IFERROR(VLOOKUP(SuiviCouts[[#This Row],[Types blocs]],CompositionBlocs[],12,FALSE),"")</f>
        <v/>
      </c>
      <c r="R23" s="45" t="str">
        <f>IFERROR((SuiviCouts[[#This Row],[Coût réel/Bloc]]-SuiviCouts[[#This Row],[Coût Cible/Bloc]])/SuiviCouts[[#This Row],[Coût Cible/Bloc]],"")</f>
        <v/>
      </c>
      <c r="S23" s="42" t="str">
        <f>IFERROR(IF(VLOOKUP(SuiviCouts[[#This Row],[Types blocs]],CompositionBlocs[],3,FALSE)="","",VLOOKUP(SuiviCouts[[#This Row],[Types blocs]],CompositionBlocs[],3,FALSE)),"")</f>
        <v/>
      </c>
      <c r="T23" s="42" t="str">
        <f>IFERROR(SuiviCouts[[#This Row],[Prix de vente]]-SuiviCouts[[#This Row],[Coût réel/Bloc]],"")</f>
        <v/>
      </c>
      <c r="U23" s="45" t="str">
        <f>IFERROR((SuiviCouts[[#This Row],[Marge / Bloc]]-(SuiviCouts[[#This Row],[Prix de vente]]-SuiviCouts[[#This Row],[Coût Cible/Bloc]]))/(SuiviCouts[[#This Row],[Prix de vente]]-SuiviCouts[[#This Row],[Coût Cible/Bloc]]),"")</f>
        <v/>
      </c>
    </row>
    <row r="24" spans="2:21" ht="30" customHeight="1" x14ac:dyDescent="0.35">
      <c r="B24" s="38" t="str">
        <f>IF(CompositionBlocs[[#This Row],[Types blocs]]="","",CompositionBlocs[[#This Row],[Types blocs]])</f>
        <v/>
      </c>
      <c r="C24" s="39" t="str">
        <f>IFERROR(IF(VLOOKUP(SuiviCouts[[#This Row],[Types blocs]],DeclarationProd[],3,FALSE)="","",VLOOKUP(SuiviCouts[[#This Row],[Types blocs]],DeclarationProd[],3,FALSE)),"")</f>
        <v/>
      </c>
      <c r="D24" s="40" t="str">
        <f>IFERROR(SuiviCouts[[#This Row],[Quantité produite]]*VLOOKUP(SuiviCouts[[#This Row],[Types blocs]],CompositionBlocs[],4,FALSE),"")</f>
        <v/>
      </c>
      <c r="E24" s="40" t="str">
        <f>IFERROR(SuiviCouts[[#This Row],[Quantité produite]]*VLOOKUP(SuiviCouts[[#This Row],[Types blocs]],CompositionBlocs[],5,FALSE),"")</f>
        <v/>
      </c>
      <c r="F24" s="41" t="str">
        <f>IFERROR(ROUNDUP(SuiviCouts[[#This Row],[Quantité produite]]*VLOOKUP(SuiviCouts[[#This Row],[Types blocs]],CompositionBlocs[],6,FALSE),0),"")</f>
        <v/>
      </c>
      <c r="G24" s="40" t="str">
        <f>IFERROR(SuiviCouts[[#This Row],[Quantité produite]]*VLOOKUP(SuiviCouts[[#This Row],[Types blocs]],CompositionBlocs[],7,FALSE),"")</f>
        <v/>
      </c>
      <c r="H24" s="42" t="str">
        <f>IFERROR(SuiviCouts[[#This Row],[Quantité produite]]*VLOOKUP(SuiviCouts[[#This Row],[Types blocs]],CompositionBlocs[],8,FALSE),"")</f>
        <v/>
      </c>
      <c r="I24" s="43" t="str">
        <f>IFERROR(SuiviCouts[[#This Row],[Quantité produite]]*VLOOKUP(SuiviCouts[[#This Row],[Types blocs]],CompositionBlocs[],9,FALSE),"")</f>
        <v/>
      </c>
      <c r="J24" s="42" t="str">
        <f>IFERROR(SuiviCouts[[#This Row],[Quantité produite]]*VLOOKUP(SuiviCouts[[#This Row],[Types blocs]],CompositionBlocs[],10,FALSE),"")</f>
        <v/>
      </c>
      <c r="K24" s="42" t="str">
        <f>IFERROR(SuiviCouts[[#This Row],[Quantité produite]]*VLOOKUP(SuiviCouts[[#This Row],[Types blocs]],CompositionBlocs[],11,FALSE),"")</f>
        <v/>
      </c>
      <c r="L24" s="42" t="str">
        <f>IF(VLOOKUP(SuiviCouts[[#This Row],[Types blocs]],DeclarationProd[],3,FALSE)="","",SUM(SuiviCouts[[#This Row],[Coût Terre]:[Coût Bande de cerclage]]))</f>
        <v/>
      </c>
      <c r="M24" s="42" t="str">
        <f>IFERROR('Déclaration Consommation'!$D$4*(SuiviCouts[[#This Row],[Quantité produite]]/'Déclaration Production'!$D$4),"")</f>
        <v/>
      </c>
      <c r="N24" s="42" t="str">
        <f>IFERROR((SuiviCouts[[#This Row],[Total coût matière]]+SuiviCouts[[#This Row],[Valeur Surconsommation/Saving]])/SuiviCouts[[#This Row],[Quantité produite]],"")</f>
        <v/>
      </c>
      <c r="O24" s="42" t="str">
        <f>IFERROR('Frais de gestion'!$C$5*(SuiviCouts[[#This Row],[Quantité produite]]/'Déclaration Production'!$D$4),"")</f>
        <v/>
      </c>
      <c r="P24" s="44" t="str">
        <f>IFERROR(SuiviCouts[[#This Row],[Coût matière réel / bloc]]+(SuiviCouts[[#This Row],[Frais de gestion imputés]]/SuiviCouts[[#This Row],[Quantité produite]]),"")</f>
        <v/>
      </c>
      <c r="Q24" s="42" t="str">
        <f>IFERROR(VLOOKUP(SuiviCouts[[#This Row],[Types blocs]],CompositionBlocs[],12,FALSE),"")</f>
        <v/>
      </c>
      <c r="R24" s="45" t="str">
        <f>IFERROR((SuiviCouts[[#This Row],[Coût réel/Bloc]]-SuiviCouts[[#This Row],[Coût Cible/Bloc]])/SuiviCouts[[#This Row],[Coût Cible/Bloc]],"")</f>
        <v/>
      </c>
      <c r="S24" s="42" t="str">
        <f>IFERROR(IF(VLOOKUP(SuiviCouts[[#This Row],[Types blocs]],CompositionBlocs[],3,FALSE)="","",VLOOKUP(SuiviCouts[[#This Row],[Types blocs]],CompositionBlocs[],3,FALSE)),"")</f>
        <v/>
      </c>
      <c r="T24" s="42" t="str">
        <f>IFERROR(SuiviCouts[[#This Row],[Prix de vente]]-SuiviCouts[[#This Row],[Coût réel/Bloc]],"")</f>
        <v/>
      </c>
      <c r="U24" s="45" t="str">
        <f>IFERROR((SuiviCouts[[#This Row],[Marge / Bloc]]-(SuiviCouts[[#This Row],[Prix de vente]]-SuiviCouts[[#This Row],[Coût Cible/Bloc]]))/(SuiviCouts[[#This Row],[Prix de vente]]-SuiviCouts[[#This Row],[Coût Cible/Bloc]]),"")</f>
        <v/>
      </c>
    </row>
    <row r="25" spans="2:21" ht="30" customHeight="1" x14ac:dyDescent="0.35">
      <c r="B25" s="38" t="str">
        <f>IF(CompositionBlocs[[#This Row],[Types blocs]]="","",CompositionBlocs[[#This Row],[Types blocs]])</f>
        <v/>
      </c>
      <c r="C25" s="39" t="str">
        <f>IFERROR(IF(VLOOKUP(SuiviCouts[[#This Row],[Types blocs]],DeclarationProd[],3,FALSE)="","",VLOOKUP(SuiviCouts[[#This Row],[Types blocs]],DeclarationProd[],3,FALSE)),"")</f>
        <v/>
      </c>
      <c r="D25" s="40" t="str">
        <f>IFERROR(SuiviCouts[[#This Row],[Quantité produite]]*VLOOKUP(SuiviCouts[[#This Row],[Types blocs]],CompositionBlocs[],4,FALSE),"")</f>
        <v/>
      </c>
      <c r="E25" s="40" t="str">
        <f>IFERROR(SuiviCouts[[#This Row],[Quantité produite]]*VLOOKUP(SuiviCouts[[#This Row],[Types blocs]],CompositionBlocs[],5,FALSE),"")</f>
        <v/>
      </c>
      <c r="F25" s="41" t="str">
        <f>IFERROR(ROUNDUP(SuiviCouts[[#This Row],[Quantité produite]]*VLOOKUP(SuiviCouts[[#This Row],[Types blocs]],CompositionBlocs[],6,FALSE),0),"")</f>
        <v/>
      </c>
      <c r="G25" s="40" t="str">
        <f>IFERROR(SuiviCouts[[#This Row],[Quantité produite]]*VLOOKUP(SuiviCouts[[#This Row],[Types blocs]],CompositionBlocs[],7,FALSE),"")</f>
        <v/>
      </c>
      <c r="H25" s="42" t="str">
        <f>IFERROR(SuiviCouts[[#This Row],[Quantité produite]]*VLOOKUP(SuiviCouts[[#This Row],[Types blocs]],CompositionBlocs[],8,FALSE),"")</f>
        <v/>
      </c>
      <c r="I25" s="43" t="str">
        <f>IFERROR(SuiviCouts[[#This Row],[Quantité produite]]*VLOOKUP(SuiviCouts[[#This Row],[Types blocs]],CompositionBlocs[],9,FALSE),"")</f>
        <v/>
      </c>
      <c r="J25" s="42" t="str">
        <f>IFERROR(SuiviCouts[[#This Row],[Quantité produite]]*VLOOKUP(SuiviCouts[[#This Row],[Types blocs]],CompositionBlocs[],10,FALSE),"")</f>
        <v/>
      </c>
      <c r="K25" s="42" t="str">
        <f>IFERROR(SuiviCouts[[#This Row],[Quantité produite]]*VLOOKUP(SuiviCouts[[#This Row],[Types blocs]],CompositionBlocs[],11,FALSE),"")</f>
        <v/>
      </c>
      <c r="L25" s="42" t="str">
        <f>IF(VLOOKUP(SuiviCouts[[#This Row],[Types blocs]],DeclarationProd[],3,FALSE)="","",SUM(SuiviCouts[[#This Row],[Coût Terre]:[Coût Bande de cerclage]]))</f>
        <v/>
      </c>
      <c r="M25" s="42" t="str">
        <f>IFERROR('Déclaration Consommation'!$D$4*(SuiviCouts[[#This Row],[Quantité produite]]/'Déclaration Production'!$D$4),"")</f>
        <v/>
      </c>
      <c r="N25" s="42" t="str">
        <f>IFERROR((SuiviCouts[[#This Row],[Total coût matière]]+SuiviCouts[[#This Row],[Valeur Surconsommation/Saving]])/SuiviCouts[[#This Row],[Quantité produite]],"")</f>
        <v/>
      </c>
      <c r="O25" s="42" t="str">
        <f>IFERROR('Frais de gestion'!$C$5*(SuiviCouts[[#This Row],[Quantité produite]]/'Déclaration Production'!$D$4),"")</f>
        <v/>
      </c>
      <c r="P25" s="44" t="str">
        <f>IFERROR(SuiviCouts[[#This Row],[Coût matière réel / bloc]]+(SuiviCouts[[#This Row],[Frais de gestion imputés]]/SuiviCouts[[#This Row],[Quantité produite]]),"")</f>
        <v/>
      </c>
      <c r="Q25" s="42" t="str">
        <f>IFERROR(VLOOKUP(SuiviCouts[[#This Row],[Types blocs]],CompositionBlocs[],12,FALSE),"")</f>
        <v/>
      </c>
      <c r="R25" s="45" t="str">
        <f>IFERROR((SuiviCouts[[#This Row],[Coût réel/Bloc]]-SuiviCouts[[#This Row],[Coût Cible/Bloc]])/SuiviCouts[[#This Row],[Coût Cible/Bloc]],"")</f>
        <v/>
      </c>
      <c r="S25" s="42" t="str">
        <f>IFERROR(IF(VLOOKUP(SuiviCouts[[#This Row],[Types blocs]],CompositionBlocs[],3,FALSE)="","",VLOOKUP(SuiviCouts[[#This Row],[Types blocs]],CompositionBlocs[],3,FALSE)),"")</f>
        <v/>
      </c>
      <c r="T25" s="42" t="str">
        <f>IFERROR(SuiviCouts[[#This Row],[Prix de vente]]-SuiviCouts[[#This Row],[Coût réel/Bloc]],"")</f>
        <v/>
      </c>
      <c r="U25" s="45" t="str">
        <f>IFERROR((SuiviCouts[[#This Row],[Marge / Bloc]]-(SuiviCouts[[#This Row],[Prix de vente]]-SuiviCouts[[#This Row],[Coût Cible/Bloc]]))/(SuiviCouts[[#This Row],[Prix de vente]]-SuiviCouts[[#This Row],[Coût Cible/Bloc]]),"")</f>
        <v/>
      </c>
    </row>
    <row r="26" spans="2:21" ht="30" customHeight="1" x14ac:dyDescent="0.35">
      <c r="B26" s="38" t="str">
        <f>IF(CompositionBlocs[[#This Row],[Types blocs]]="","",CompositionBlocs[[#This Row],[Types blocs]])</f>
        <v/>
      </c>
      <c r="C26" s="39" t="str">
        <f>IFERROR(IF(VLOOKUP(SuiviCouts[[#This Row],[Types blocs]],DeclarationProd[],3,FALSE)="","",VLOOKUP(SuiviCouts[[#This Row],[Types blocs]],DeclarationProd[],3,FALSE)),"")</f>
        <v/>
      </c>
      <c r="D26" s="40" t="str">
        <f>IFERROR(SuiviCouts[[#This Row],[Quantité produite]]*VLOOKUP(SuiviCouts[[#This Row],[Types blocs]],CompositionBlocs[],4,FALSE),"")</f>
        <v/>
      </c>
      <c r="E26" s="40" t="str">
        <f>IFERROR(SuiviCouts[[#This Row],[Quantité produite]]*VLOOKUP(SuiviCouts[[#This Row],[Types blocs]],CompositionBlocs[],5,FALSE),"")</f>
        <v/>
      </c>
      <c r="F26" s="41" t="str">
        <f>IFERROR(ROUNDUP(SuiviCouts[[#This Row],[Quantité produite]]*VLOOKUP(SuiviCouts[[#This Row],[Types blocs]],CompositionBlocs[],6,FALSE),0),"")</f>
        <v/>
      </c>
      <c r="G26" s="40" t="str">
        <f>IFERROR(SuiviCouts[[#This Row],[Quantité produite]]*VLOOKUP(SuiviCouts[[#This Row],[Types blocs]],CompositionBlocs[],7,FALSE),"")</f>
        <v/>
      </c>
      <c r="H26" s="42" t="str">
        <f>IFERROR(SuiviCouts[[#This Row],[Quantité produite]]*VLOOKUP(SuiviCouts[[#This Row],[Types blocs]],CompositionBlocs[],8,FALSE),"")</f>
        <v/>
      </c>
      <c r="I26" s="43" t="str">
        <f>IFERROR(SuiviCouts[[#This Row],[Quantité produite]]*VLOOKUP(SuiviCouts[[#This Row],[Types blocs]],CompositionBlocs[],9,FALSE),"")</f>
        <v/>
      </c>
      <c r="J26" s="42" t="str">
        <f>IFERROR(SuiviCouts[[#This Row],[Quantité produite]]*VLOOKUP(SuiviCouts[[#This Row],[Types blocs]],CompositionBlocs[],10,FALSE),"")</f>
        <v/>
      </c>
      <c r="K26" s="42" t="str">
        <f>IFERROR(SuiviCouts[[#This Row],[Quantité produite]]*VLOOKUP(SuiviCouts[[#This Row],[Types blocs]],CompositionBlocs[],11,FALSE),"")</f>
        <v/>
      </c>
      <c r="L26" s="42" t="str">
        <f>IF(VLOOKUP(SuiviCouts[[#This Row],[Types blocs]],DeclarationProd[],3,FALSE)="","",SUM(SuiviCouts[[#This Row],[Coût Terre]:[Coût Bande de cerclage]]))</f>
        <v/>
      </c>
      <c r="M26" s="42" t="str">
        <f>IFERROR('Déclaration Consommation'!$D$4*(SuiviCouts[[#This Row],[Quantité produite]]/'Déclaration Production'!$D$4),"")</f>
        <v/>
      </c>
      <c r="N26" s="42" t="str">
        <f>IFERROR((SuiviCouts[[#This Row],[Total coût matière]]+SuiviCouts[[#This Row],[Valeur Surconsommation/Saving]])/SuiviCouts[[#This Row],[Quantité produite]],"")</f>
        <v/>
      </c>
      <c r="O26" s="42" t="str">
        <f>IFERROR('Frais de gestion'!$C$5*(SuiviCouts[[#This Row],[Quantité produite]]/'Déclaration Production'!$D$4),"")</f>
        <v/>
      </c>
      <c r="P26" s="44" t="str">
        <f>IFERROR(SuiviCouts[[#This Row],[Coût matière réel / bloc]]+(SuiviCouts[[#This Row],[Frais de gestion imputés]]/SuiviCouts[[#This Row],[Quantité produite]]),"")</f>
        <v/>
      </c>
      <c r="Q26" s="42" t="str">
        <f>IFERROR(VLOOKUP(SuiviCouts[[#This Row],[Types blocs]],CompositionBlocs[],12,FALSE),"")</f>
        <v/>
      </c>
      <c r="R26" s="45" t="str">
        <f>IFERROR((SuiviCouts[[#This Row],[Coût réel/Bloc]]-SuiviCouts[[#This Row],[Coût Cible/Bloc]])/SuiviCouts[[#This Row],[Coût Cible/Bloc]],"")</f>
        <v/>
      </c>
      <c r="S26" s="42" t="str">
        <f>IFERROR(IF(VLOOKUP(SuiviCouts[[#This Row],[Types blocs]],CompositionBlocs[],3,FALSE)="","",VLOOKUP(SuiviCouts[[#This Row],[Types blocs]],CompositionBlocs[],3,FALSE)),"")</f>
        <v/>
      </c>
      <c r="T26" s="42" t="str">
        <f>IFERROR(SuiviCouts[[#This Row],[Prix de vente]]-SuiviCouts[[#This Row],[Coût réel/Bloc]],"")</f>
        <v/>
      </c>
      <c r="U26" s="45" t="str">
        <f>IFERROR((SuiviCouts[[#This Row],[Marge / Bloc]]-(SuiviCouts[[#This Row],[Prix de vente]]-SuiviCouts[[#This Row],[Coût Cible/Bloc]]))/(SuiviCouts[[#This Row],[Prix de vente]]-SuiviCouts[[#This Row],[Coût Cible/Bloc]]),"")</f>
        <v/>
      </c>
    </row>
    <row r="27" spans="2:21" ht="30" customHeight="1" x14ac:dyDescent="0.35">
      <c r="B27" s="38" t="str">
        <f>IF(CompositionBlocs[[#This Row],[Types blocs]]="","",CompositionBlocs[[#This Row],[Types blocs]])</f>
        <v/>
      </c>
      <c r="C27" s="39" t="str">
        <f>IFERROR(IF(VLOOKUP(SuiviCouts[[#This Row],[Types blocs]],DeclarationProd[],3,FALSE)="","",VLOOKUP(SuiviCouts[[#This Row],[Types blocs]],DeclarationProd[],3,FALSE)),"")</f>
        <v/>
      </c>
      <c r="D27" s="40" t="str">
        <f>IFERROR(SuiviCouts[[#This Row],[Quantité produite]]*VLOOKUP(SuiviCouts[[#This Row],[Types blocs]],CompositionBlocs[],4,FALSE),"")</f>
        <v/>
      </c>
      <c r="E27" s="40" t="str">
        <f>IFERROR(SuiviCouts[[#This Row],[Quantité produite]]*VLOOKUP(SuiviCouts[[#This Row],[Types blocs]],CompositionBlocs[],5,FALSE),"")</f>
        <v/>
      </c>
      <c r="F27" s="41" t="str">
        <f>IFERROR(ROUNDUP(SuiviCouts[[#This Row],[Quantité produite]]*VLOOKUP(SuiviCouts[[#This Row],[Types blocs]],CompositionBlocs[],6,FALSE),0),"")</f>
        <v/>
      </c>
      <c r="G27" s="40" t="str">
        <f>IFERROR(SuiviCouts[[#This Row],[Quantité produite]]*VLOOKUP(SuiviCouts[[#This Row],[Types blocs]],CompositionBlocs[],7,FALSE),"")</f>
        <v/>
      </c>
      <c r="H27" s="42" t="str">
        <f>IFERROR(SuiviCouts[[#This Row],[Quantité produite]]*VLOOKUP(SuiviCouts[[#This Row],[Types blocs]],CompositionBlocs[],8,FALSE),"")</f>
        <v/>
      </c>
      <c r="I27" s="43" t="str">
        <f>IFERROR(SuiviCouts[[#This Row],[Quantité produite]]*VLOOKUP(SuiviCouts[[#This Row],[Types blocs]],CompositionBlocs[],9,FALSE),"")</f>
        <v/>
      </c>
      <c r="J27" s="42" t="str">
        <f>IFERROR(SuiviCouts[[#This Row],[Quantité produite]]*VLOOKUP(SuiviCouts[[#This Row],[Types blocs]],CompositionBlocs[],10,FALSE),"")</f>
        <v/>
      </c>
      <c r="K27" s="42" t="str">
        <f>IFERROR(SuiviCouts[[#This Row],[Quantité produite]]*VLOOKUP(SuiviCouts[[#This Row],[Types blocs]],CompositionBlocs[],11,FALSE),"")</f>
        <v/>
      </c>
      <c r="L27" s="42" t="str">
        <f>IF(VLOOKUP(SuiviCouts[[#This Row],[Types blocs]],DeclarationProd[],3,FALSE)="","",SUM(SuiviCouts[[#This Row],[Coût Terre]:[Coût Bande de cerclage]]))</f>
        <v/>
      </c>
      <c r="M27" s="42" t="str">
        <f>IFERROR('Déclaration Consommation'!$D$4*(SuiviCouts[[#This Row],[Quantité produite]]/'Déclaration Production'!$D$4),"")</f>
        <v/>
      </c>
      <c r="N27" s="42" t="str">
        <f>IFERROR((SuiviCouts[[#This Row],[Total coût matière]]+SuiviCouts[[#This Row],[Valeur Surconsommation/Saving]])/SuiviCouts[[#This Row],[Quantité produite]],"")</f>
        <v/>
      </c>
      <c r="O27" s="42" t="str">
        <f>IFERROR('Frais de gestion'!$C$5*(SuiviCouts[[#This Row],[Quantité produite]]/'Déclaration Production'!$D$4),"")</f>
        <v/>
      </c>
      <c r="P27" s="44" t="str">
        <f>IFERROR(SuiviCouts[[#This Row],[Coût matière réel / bloc]]+(SuiviCouts[[#This Row],[Frais de gestion imputés]]/SuiviCouts[[#This Row],[Quantité produite]]),"")</f>
        <v/>
      </c>
      <c r="Q27" s="42" t="str">
        <f>IFERROR(VLOOKUP(SuiviCouts[[#This Row],[Types blocs]],CompositionBlocs[],12,FALSE),"")</f>
        <v/>
      </c>
      <c r="R27" s="45" t="str">
        <f>IFERROR((SuiviCouts[[#This Row],[Coût réel/Bloc]]-SuiviCouts[[#This Row],[Coût Cible/Bloc]])/SuiviCouts[[#This Row],[Coût Cible/Bloc]],"")</f>
        <v/>
      </c>
      <c r="S27" s="42" t="str">
        <f>IFERROR(IF(VLOOKUP(SuiviCouts[[#This Row],[Types blocs]],CompositionBlocs[],3,FALSE)="","",VLOOKUP(SuiviCouts[[#This Row],[Types blocs]],CompositionBlocs[],3,FALSE)),"")</f>
        <v/>
      </c>
      <c r="T27" s="42" t="str">
        <f>IFERROR(SuiviCouts[[#This Row],[Prix de vente]]-SuiviCouts[[#This Row],[Coût réel/Bloc]],"")</f>
        <v/>
      </c>
      <c r="U27" s="45" t="str">
        <f>IFERROR((SuiviCouts[[#This Row],[Marge / Bloc]]-(SuiviCouts[[#This Row],[Prix de vente]]-SuiviCouts[[#This Row],[Coût Cible/Bloc]]))/(SuiviCouts[[#This Row],[Prix de vente]]-SuiviCouts[[#This Row],[Coût Cible/Bloc]]),"")</f>
        <v/>
      </c>
    </row>
    <row r="28" spans="2:21" ht="30" customHeight="1" x14ac:dyDescent="0.35">
      <c r="B28" s="38" t="str">
        <f>IF(CompositionBlocs[[#This Row],[Types blocs]]="","",CompositionBlocs[[#This Row],[Types blocs]])</f>
        <v/>
      </c>
      <c r="C28" s="39" t="str">
        <f>IFERROR(IF(VLOOKUP(SuiviCouts[[#This Row],[Types blocs]],DeclarationProd[],3,FALSE)="","",VLOOKUP(SuiviCouts[[#This Row],[Types blocs]],DeclarationProd[],3,FALSE)),"")</f>
        <v/>
      </c>
      <c r="D28" s="40" t="str">
        <f>IFERROR(SuiviCouts[[#This Row],[Quantité produite]]*VLOOKUP(SuiviCouts[[#This Row],[Types blocs]],CompositionBlocs[],4,FALSE),"")</f>
        <v/>
      </c>
      <c r="E28" s="40" t="str">
        <f>IFERROR(SuiviCouts[[#This Row],[Quantité produite]]*VLOOKUP(SuiviCouts[[#This Row],[Types blocs]],CompositionBlocs[],5,FALSE),"")</f>
        <v/>
      </c>
      <c r="F28" s="41" t="str">
        <f>IFERROR(ROUNDUP(SuiviCouts[[#This Row],[Quantité produite]]*VLOOKUP(SuiviCouts[[#This Row],[Types blocs]],CompositionBlocs[],6,FALSE),0),"")</f>
        <v/>
      </c>
      <c r="G28" s="40" t="str">
        <f>IFERROR(SuiviCouts[[#This Row],[Quantité produite]]*VLOOKUP(SuiviCouts[[#This Row],[Types blocs]],CompositionBlocs[],7,FALSE),"")</f>
        <v/>
      </c>
      <c r="H28" s="42" t="str">
        <f>IFERROR(SuiviCouts[[#This Row],[Quantité produite]]*VLOOKUP(SuiviCouts[[#This Row],[Types blocs]],CompositionBlocs[],8,FALSE),"")</f>
        <v/>
      </c>
      <c r="I28" s="43" t="str">
        <f>IFERROR(SuiviCouts[[#This Row],[Quantité produite]]*VLOOKUP(SuiviCouts[[#This Row],[Types blocs]],CompositionBlocs[],9,FALSE),"")</f>
        <v/>
      </c>
      <c r="J28" s="42" t="str">
        <f>IFERROR(SuiviCouts[[#This Row],[Quantité produite]]*VLOOKUP(SuiviCouts[[#This Row],[Types blocs]],CompositionBlocs[],10,FALSE),"")</f>
        <v/>
      </c>
      <c r="K28" s="42" t="str">
        <f>IFERROR(SuiviCouts[[#This Row],[Quantité produite]]*VLOOKUP(SuiviCouts[[#This Row],[Types blocs]],CompositionBlocs[],11,FALSE),"")</f>
        <v/>
      </c>
      <c r="L28" s="42" t="str">
        <f>IF(VLOOKUP(SuiviCouts[[#This Row],[Types blocs]],DeclarationProd[],3,FALSE)="","",SUM(SuiviCouts[[#This Row],[Coût Terre]:[Coût Bande de cerclage]]))</f>
        <v/>
      </c>
      <c r="M28" s="42" t="str">
        <f>IFERROR('Déclaration Consommation'!$D$4*(SuiviCouts[[#This Row],[Quantité produite]]/'Déclaration Production'!$D$4),"")</f>
        <v/>
      </c>
      <c r="N28" s="42" t="str">
        <f>IFERROR((SuiviCouts[[#This Row],[Total coût matière]]+SuiviCouts[[#This Row],[Valeur Surconsommation/Saving]])/SuiviCouts[[#This Row],[Quantité produite]],"")</f>
        <v/>
      </c>
      <c r="O28" s="42" t="str">
        <f>IFERROR('Frais de gestion'!$C$5*(SuiviCouts[[#This Row],[Quantité produite]]/'Déclaration Production'!$D$4),"")</f>
        <v/>
      </c>
      <c r="P28" s="44" t="str">
        <f>IFERROR(SuiviCouts[[#This Row],[Coût matière réel / bloc]]+(SuiviCouts[[#This Row],[Frais de gestion imputés]]/SuiviCouts[[#This Row],[Quantité produite]]),"")</f>
        <v/>
      </c>
      <c r="Q28" s="42" t="str">
        <f>IFERROR(VLOOKUP(SuiviCouts[[#This Row],[Types blocs]],CompositionBlocs[],12,FALSE),"")</f>
        <v/>
      </c>
      <c r="R28" s="45" t="str">
        <f>IFERROR((SuiviCouts[[#This Row],[Coût réel/Bloc]]-SuiviCouts[[#This Row],[Coût Cible/Bloc]])/SuiviCouts[[#This Row],[Coût Cible/Bloc]],"")</f>
        <v/>
      </c>
      <c r="S28" s="42" t="str">
        <f>IFERROR(IF(VLOOKUP(SuiviCouts[[#This Row],[Types blocs]],CompositionBlocs[],3,FALSE)="","",VLOOKUP(SuiviCouts[[#This Row],[Types blocs]],CompositionBlocs[],3,FALSE)),"")</f>
        <v/>
      </c>
      <c r="T28" s="42" t="str">
        <f>IFERROR(SuiviCouts[[#This Row],[Prix de vente]]-SuiviCouts[[#This Row],[Coût réel/Bloc]],"")</f>
        <v/>
      </c>
      <c r="U28" s="45" t="str">
        <f>IFERROR((SuiviCouts[[#This Row],[Marge / Bloc]]-(SuiviCouts[[#This Row],[Prix de vente]]-SuiviCouts[[#This Row],[Coût Cible/Bloc]]))/(SuiviCouts[[#This Row],[Prix de vente]]-SuiviCouts[[#This Row],[Coût Cible/Bloc]]),"")</f>
        <v/>
      </c>
    </row>
    <row r="29" spans="2:21" ht="30" customHeight="1" x14ac:dyDescent="0.35">
      <c r="B29" s="38" t="str">
        <f>IF(CompositionBlocs[[#This Row],[Types blocs]]="","",CompositionBlocs[[#This Row],[Types blocs]])</f>
        <v/>
      </c>
      <c r="C29" s="39" t="str">
        <f>IFERROR(IF(VLOOKUP(SuiviCouts[[#This Row],[Types blocs]],DeclarationProd[],3,FALSE)="","",VLOOKUP(SuiviCouts[[#This Row],[Types blocs]],DeclarationProd[],3,FALSE)),"")</f>
        <v/>
      </c>
      <c r="D29" s="40" t="str">
        <f>IFERROR(SuiviCouts[[#This Row],[Quantité produite]]*VLOOKUP(SuiviCouts[[#This Row],[Types blocs]],CompositionBlocs[],4,FALSE),"")</f>
        <v/>
      </c>
      <c r="E29" s="40" t="str">
        <f>IFERROR(SuiviCouts[[#This Row],[Quantité produite]]*VLOOKUP(SuiviCouts[[#This Row],[Types blocs]],CompositionBlocs[],5,FALSE),"")</f>
        <v/>
      </c>
      <c r="F29" s="41" t="str">
        <f>IFERROR(ROUNDUP(SuiviCouts[[#This Row],[Quantité produite]]*VLOOKUP(SuiviCouts[[#This Row],[Types blocs]],CompositionBlocs[],6,FALSE),0),"")</f>
        <v/>
      </c>
      <c r="G29" s="40" t="str">
        <f>IFERROR(SuiviCouts[[#This Row],[Quantité produite]]*VLOOKUP(SuiviCouts[[#This Row],[Types blocs]],CompositionBlocs[],7,FALSE),"")</f>
        <v/>
      </c>
      <c r="H29" s="42" t="str">
        <f>IFERROR(SuiviCouts[[#This Row],[Quantité produite]]*VLOOKUP(SuiviCouts[[#This Row],[Types blocs]],CompositionBlocs[],8,FALSE),"")</f>
        <v/>
      </c>
      <c r="I29" s="43" t="str">
        <f>IFERROR(SuiviCouts[[#This Row],[Quantité produite]]*VLOOKUP(SuiviCouts[[#This Row],[Types blocs]],CompositionBlocs[],9,FALSE),"")</f>
        <v/>
      </c>
      <c r="J29" s="42" t="str">
        <f>IFERROR(SuiviCouts[[#This Row],[Quantité produite]]*VLOOKUP(SuiviCouts[[#This Row],[Types blocs]],CompositionBlocs[],10,FALSE),"")</f>
        <v/>
      </c>
      <c r="K29" s="42" t="str">
        <f>IFERROR(SuiviCouts[[#This Row],[Quantité produite]]*VLOOKUP(SuiviCouts[[#This Row],[Types blocs]],CompositionBlocs[],11,FALSE),"")</f>
        <v/>
      </c>
      <c r="L29" s="42" t="str">
        <f>IF(VLOOKUP(SuiviCouts[[#This Row],[Types blocs]],DeclarationProd[],3,FALSE)="","",SUM(SuiviCouts[[#This Row],[Coût Terre]:[Coût Bande de cerclage]]))</f>
        <v/>
      </c>
      <c r="M29" s="42" t="str">
        <f>IFERROR('Déclaration Consommation'!$D$4*(SuiviCouts[[#This Row],[Quantité produite]]/'Déclaration Production'!$D$4),"")</f>
        <v/>
      </c>
      <c r="N29" s="42" t="str">
        <f>IFERROR((SuiviCouts[[#This Row],[Total coût matière]]+SuiviCouts[[#This Row],[Valeur Surconsommation/Saving]])/SuiviCouts[[#This Row],[Quantité produite]],"")</f>
        <v/>
      </c>
      <c r="O29" s="42" t="str">
        <f>IFERROR('Frais de gestion'!$C$5*(SuiviCouts[[#This Row],[Quantité produite]]/'Déclaration Production'!$D$4),"")</f>
        <v/>
      </c>
      <c r="P29" s="44" t="str">
        <f>IFERROR(SuiviCouts[[#This Row],[Coût matière réel / bloc]]+(SuiviCouts[[#This Row],[Frais de gestion imputés]]/SuiviCouts[[#This Row],[Quantité produite]]),"")</f>
        <v/>
      </c>
      <c r="Q29" s="42" t="str">
        <f>IFERROR(VLOOKUP(SuiviCouts[[#This Row],[Types blocs]],CompositionBlocs[],12,FALSE),"")</f>
        <v/>
      </c>
      <c r="R29" s="45" t="str">
        <f>IFERROR((SuiviCouts[[#This Row],[Coût réel/Bloc]]-SuiviCouts[[#This Row],[Coût Cible/Bloc]])/SuiviCouts[[#This Row],[Coût Cible/Bloc]],"")</f>
        <v/>
      </c>
      <c r="S29" s="42" t="str">
        <f>IFERROR(IF(VLOOKUP(SuiviCouts[[#This Row],[Types blocs]],CompositionBlocs[],3,FALSE)="","",VLOOKUP(SuiviCouts[[#This Row],[Types blocs]],CompositionBlocs[],3,FALSE)),"")</f>
        <v/>
      </c>
      <c r="T29" s="42" t="str">
        <f>IFERROR(SuiviCouts[[#This Row],[Prix de vente]]-SuiviCouts[[#This Row],[Coût réel/Bloc]],"")</f>
        <v/>
      </c>
      <c r="U29" s="45" t="str">
        <f>IFERROR((SuiviCouts[[#This Row],[Marge / Bloc]]-(SuiviCouts[[#This Row],[Prix de vente]]-SuiviCouts[[#This Row],[Coût Cible/Bloc]]))/(SuiviCouts[[#This Row],[Prix de vente]]-SuiviCouts[[#This Row],[Coût Cible/Bloc]]),"")</f>
        <v/>
      </c>
    </row>
    <row r="30" spans="2:21" ht="30" customHeight="1" x14ac:dyDescent="0.35">
      <c r="B30" s="38" t="str">
        <f>IF(CompositionBlocs[[#This Row],[Types blocs]]="","",CompositionBlocs[[#This Row],[Types blocs]])</f>
        <v/>
      </c>
      <c r="C30" s="39" t="str">
        <f>IFERROR(IF(VLOOKUP(SuiviCouts[[#This Row],[Types blocs]],DeclarationProd[],3,FALSE)="","",VLOOKUP(SuiviCouts[[#This Row],[Types blocs]],DeclarationProd[],3,FALSE)),"")</f>
        <v/>
      </c>
      <c r="D30" s="40" t="str">
        <f>IFERROR(SuiviCouts[[#This Row],[Quantité produite]]*VLOOKUP(SuiviCouts[[#This Row],[Types blocs]],CompositionBlocs[],4,FALSE),"")</f>
        <v/>
      </c>
      <c r="E30" s="40" t="str">
        <f>IFERROR(SuiviCouts[[#This Row],[Quantité produite]]*VLOOKUP(SuiviCouts[[#This Row],[Types blocs]],CompositionBlocs[],5,FALSE),"")</f>
        <v/>
      </c>
      <c r="F30" s="41" t="str">
        <f>IFERROR(ROUNDUP(SuiviCouts[[#This Row],[Quantité produite]]*VLOOKUP(SuiviCouts[[#This Row],[Types blocs]],CompositionBlocs[],6,FALSE),0),"")</f>
        <v/>
      </c>
      <c r="G30" s="40" t="str">
        <f>IFERROR(SuiviCouts[[#This Row],[Quantité produite]]*VLOOKUP(SuiviCouts[[#This Row],[Types blocs]],CompositionBlocs[],7,FALSE),"")</f>
        <v/>
      </c>
      <c r="H30" s="42" t="str">
        <f>IFERROR(SuiviCouts[[#This Row],[Quantité produite]]*VLOOKUP(SuiviCouts[[#This Row],[Types blocs]],CompositionBlocs[],8,FALSE),"")</f>
        <v/>
      </c>
      <c r="I30" s="43" t="str">
        <f>IFERROR(SuiviCouts[[#This Row],[Quantité produite]]*VLOOKUP(SuiviCouts[[#This Row],[Types blocs]],CompositionBlocs[],9,FALSE),"")</f>
        <v/>
      </c>
      <c r="J30" s="42" t="str">
        <f>IFERROR(SuiviCouts[[#This Row],[Quantité produite]]*VLOOKUP(SuiviCouts[[#This Row],[Types blocs]],CompositionBlocs[],10,FALSE),"")</f>
        <v/>
      </c>
      <c r="K30" s="42" t="str">
        <f>IFERROR(SuiviCouts[[#This Row],[Quantité produite]]*VLOOKUP(SuiviCouts[[#This Row],[Types blocs]],CompositionBlocs[],11,FALSE),"")</f>
        <v/>
      </c>
      <c r="L30" s="42" t="str">
        <f>IF(VLOOKUP(SuiviCouts[[#This Row],[Types blocs]],DeclarationProd[],3,FALSE)="","",SUM(SuiviCouts[[#This Row],[Coût Terre]:[Coût Bande de cerclage]]))</f>
        <v/>
      </c>
      <c r="M30" s="42" t="str">
        <f>IFERROR('Déclaration Consommation'!$D$4*(SuiviCouts[[#This Row],[Quantité produite]]/'Déclaration Production'!$D$4),"")</f>
        <v/>
      </c>
      <c r="N30" s="42" t="str">
        <f>IFERROR((SuiviCouts[[#This Row],[Total coût matière]]+SuiviCouts[[#This Row],[Valeur Surconsommation/Saving]])/SuiviCouts[[#This Row],[Quantité produite]],"")</f>
        <v/>
      </c>
      <c r="O30" s="42" t="str">
        <f>IFERROR('Frais de gestion'!$C$5*(SuiviCouts[[#This Row],[Quantité produite]]/'Déclaration Production'!$D$4),"")</f>
        <v/>
      </c>
      <c r="P30" s="44" t="str">
        <f>IFERROR(SuiviCouts[[#This Row],[Coût matière réel / bloc]]+(SuiviCouts[[#This Row],[Frais de gestion imputés]]/SuiviCouts[[#This Row],[Quantité produite]]),"")</f>
        <v/>
      </c>
      <c r="Q30" s="42" t="str">
        <f>IFERROR(VLOOKUP(SuiviCouts[[#This Row],[Types blocs]],CompositionBlocs[],12,FALSE),"")</f>
        <v/>
      </c>
      <c r="R30" s="45" t="str">
        <f>IFERROR((SuiviCouts[[#This Row],[Coût réel/Bloc]]-SuiviCouts[[#This Row],[Coût Cible/Bloc]])/SuiviCouts[[#This Row],[Coût Cible/Bloc]],"")</f>
        <v/>
      </c>
      <c r="S30" s="42" t="str">
        <f>IFERROR(IF(VLOOKUP(SuiviCouts[[#This Row],[Types blocs]],CompositionBlocs[],3,FALSE)="","",VLOOKUP(SuiviCouts[[#This Row],[Types blocs]],CompositionBlocs[],3,FALSE)),"")</f>
        <v/>
      </c>
      <c r="T30" s="42" t="str">
        <f>IFERROR(SuiviCouts[[#This Row],[Prix de vente]]-SuiviCouts[[#This Row],[Coût réel/Bloc]],"")</f>
        <v/>
      </c>
      <c r="U30" s="45" t="str">
        <f>IFERROR((SuiviCouts[[#This Row],[Marge / Bloc]]-(SuiviCouts[[#This Row],[Prix de vente]]-SuiviCouts[[#This Row],[Coût Cible/Bloc]]))/(SuiviCouts[[#This Row],[Prix de vente]]-SuiviCouts[[#This Row],[Coût Cible/Bloc]]),"")</f>
        <v/>
      </c>
    </row>
    <row r="31" spans="2:21" ht="30" customHeight="1" x14ac:dyDescent="0.35">
      <c r="B31" s="38" t="str">
        <f>IF(CompositionBlocs[[#This Row],[Types blocs]]="","",CompositionBlocs[[#This Row],[Types blocs]])</f>
        <v/>
      </c>
      <c r="C31" s="39" t="str">
        <f>IFERROR(IF(VLOOKUP(SuiviCouts[[#This Row],[Types blocs]],DeclarationProd[],3,FALSE)="","",VLOOKUP(SuiviCouts[[#This Row],[Types blocs]],DeclarationProd[],3,FALSE)),"")</f>
        <v/>
      </c>
      <c r="D31" s="40" t="str">
        <f>IFERROR(SuiviCouts[[#This Row],[Quantité produite]]*VLOOKUP(SuiviCouts[[#This Row],[Types blocs]],CompositionBlocs[],4,FALSE),"")</f>
        <v/>
      </c>
      <c r="E31" s="40" t="str">
        <f>IFERROR(SuiviCouts[[#This Row],[Quantité produite]]*VLOOKUP(SuiviCouts[[#This Row],[Types blocs]],CompositionBlocs[],5,FALSE),"")</f>
        <v/>
      </c>
      <c r="F31" s="41" t="str">
        <f>IFERROR(ROUNDUP(SuiviCouts[[#This Row],[Quantité produite]]*VLOOKUP(SuiviCouts[[#This Row],[Types blocs]],CompositionBlocs[],6,FALSE),0),"")</f>
        <v/>
      </c>
      <c r="G31" s="40" t="str">
        <f>IFERROR(SuiviCouts[[#This Row],[Quantité produite]]*VLOOKUP(SuiviCouts[[#This Row],[Types blocs]],CompositionBlocs[],7,FALSE),"")</f>
        <v/>
      </c>
      <c r="H31" s="42" t="str">
        <f>IFERROR(SuiviCouts[[#This Row],[Quantité produite]]*VLOOKUP(SuiviCouts[[#This Row],[Types blocs]],CompositionBlocs[],8,FALSE),"")</f>
        <v/>
      </c>
      <c r="I31" s="43" t="str">
        <f>IFERROR(SuiviCouts[[#This Row],[Quantité produite]]*VLOOKUP(SuiviCouts[[#This Row],[Types blocs]],CompositionBlocs[],9,FALSE),"")</f>
        <v/>
      </c>
      <c r="J31" s="42" t="str">
        <f>IFERROR(SuiviCouts[[#This Row],[Quantité produite]]*VLOOKUP(SuiviCouts[[#This Row],[Types blocs]],CompositionBlocs[],10,FALSE),"")</f>
        <v/>
      </c>
      <c r="K31" s="42" t="str">
        <f>IFERROR(SuiviCouts[[#This Row],[Quantité produite]]*VLOOKUP(SuiviCouts[[#This Row],[Types blocs]],CompositionBlocs[],11,FALSE),"")</f>
        <v/>
      </c>
      <c r="L31" s="42" t="str">
        <f>IF(VLOOKUP(SuiviCouts[[#This Row],[Types blocs]],DeclarationProd[],3,FALSE)="","",SUM(SuiviCouts[[#This Row],[Coût Terre]:[Coût Bande de cerclage]]))</f>
        <v/>
      </c>
      <c r="M31" s="42" t="str">
        <f>IFERROR('Déclaration Consommation'!$D$4*(SuiviCouts[[#This Row],[Quantité produite]]/'Déclaration Production'!$D$4),"")</f>
        <v/>
      </c>
      <c r="N31" s="42" t="str">
        <f>IFERROR((SuiviCouts[[#This Row],[Total coût matière]]+SuiviCouts[[#This Row],[Valeur Surconsommation/Saving]])/SuiviCouts[[#This Row],[Quantité produite]],"")</f>
        <v/>
      </c>
      <c r="O31" s="42" t="str">
        <f>IFERROR('Frais de gestion'!$C$5*(SuiviCouts[[#This Row],[Quantité produite]]/'Déclaration Production'!$D$4),"")</f>
        <v/>
      </c>
      <c r="P31" s="44" t="str">
        <f>IFERROR(SuiviCouts[[#This Row],[Coût matière réel / bloc]]+(SuiviCouts[[#This Row],[Frais de gestion imputés]]/SuiviCouts[[#This Row],[Quantité produite]]),"")</f>
        <v/>
      </c>
      <c r="Q31" s="42" t="str">
        <f>IFERROR(VLOOKUP(SuiviCouts[[#This Row],[Types blocs]],CompositionBlocs[],12,FALSE),"")</f>
        <v/>
      </c>
      <c r="R31" s="45" t="str">
        <f>IFERROR((SuiviCouts[[#This Row],[Coût réel/Bloc]]-SuiviCouts[[#This Row],[Coût Cible/Bloc]])/SuiviCouts[[#This Row],[Coût Cible/Bloc]],"")</f>
        <v/>
      </c>
      <c r="S31" s="42" t="str">
        <f>IFERROR(IF(VLOOKUP(SuiviCouts[[#This Row],[Types blocs]],CompositionBlocs[],3,FALSE)="","",VLOOKUP(SuiviCouts[[#This Row],[Types blocs]],CompositionBlocs[],3,FALSE)),"")</f>
        <v/>
      </c>
      <c r="T31" s="42" t="str">
        <f>IFERROR(SuiviCouts[[#This Row],[Prix de vente]]-SuiviCouts[[#This Row],[Coût réel/Bloc]],"")</f>
        <v/>
      </c>
      <c r="U31" s="45" t="str">
        <f>IFERROR((SuiviCouts[[#This Row],[Marge / Bloc]]-(SuiviCouts[[#This Row],[Prix de vente]]-SuiviCouts[[#This Row],[Coût Cible/Bloc]]))/(SuiviCouts[[#This Row],[Prix de vente]]-SuiviCouts[[#This Row],[Coût Cible/Bloc]]),"")</f>
        <v/>
      </c>
    </row>
    <row r="32" spans="2:21" ht="30" customHeight="1" x14ac:dyDescent="0.35">
      <c r="B32" s="38" t="str">
        <f>IF(CompositionBlocs[[#This Row],[Types blocs]]="","",CompositionBlocs[[#This Row],[Types blocs]])</f>
        <v/>
      </c>
      <c r="C32" s="39" t="str">
        <f>IFERROR(IF(VLOOKUP(SuiviCouts[[#This Row],[Types blocs]],DeclarationProd[],3,FALSE)="","",VLOOKUP(SuiviCouts[[#This Row],[Types blocs]],DeclarationProd[],3,FALSE)),"")</f>
        <v/>
      </c>
      <c r="D32" s="40" t="str">
        <f>IFERROR(SuiviCouts[[#This Row],[Quantité produite]]*VLOOKUP(SuiviCouts[[#This Row],[Types blocs]],CompositionBlocs[],4,FALSE),"")</f>
        <v/>
      </c>
      <c r="E32" s="40" t="str">
        <f>IFERROR(SuiviCouts[[#This Row],[Quantité produite]]*VLOOKUP(SuiviCouts[[#This Row],[Types blocs]],CompositionBlocs[],5,FALSE),"")</f>
        <v/>
      </c>
      <c r="F32" s="41" t="str">
        <f>IFERROR(ROUNDUP(SuiviCouts[[#This Row],[Quantité produite]]*VLOOKUP(SuiviCouts[[#This Row],[Types blocs]],CompositionBlocs[],6,FALSE),0),"")</f>
        <v/>
      </c>
      <c r="G32" s="40" t="str">
        <f>IFERROR(SuiviCouts[[#This Row],[Quantité produite]]*VLOOKUP(SuiviCouts[[#This Row],[Types blocs]],CompositionBlocs[],7,FALSE),"")</f>
        <v/>
      </c>
      <c r="H32" s="42" t="str">
        <f>IFERROR(SuiviCouts[[#This Row],[Quantité produite]]*VLOOKUP(SuiviCouts[[#This Row],[Types blocs]],CompositionBlocs[],8,FALSE),"")</f>
        <v/>
      </c>
      <c r="I32" s="43" t="str">
        <f>IFERROR(SuiviCouts[[#This Row],[Quantité produite]]*VLOOKUP(SuiviCouts[[#This Row],[Types blocs]],CompositionBlocs[],9,FALSE),"")</f>
        <v/>
      </c>
      <c r="J32" s="42" t="str">
        <f>IFERROR(SuiviCouts[[#This Row],[Quantité produite]]*VLOOKUP(SuiviCouts[[#This Row],[Types blocs]],CompositionBlocs[],10,FALSE),"")</f>
        <v/>
      </c>
      <c r="K32" s="42" t="str">
        <f>IFERROR(SuiviCouts[[#This Row],[Quantité produite]]*VLOOKUP(SuiviCouts[[#This Row],[Types blocs]],CompositionBlocs[],11,FALSE),"")</f>
        <v/>
      </c>
      <c r="L32" s="42" t="str">
        <f>IF(VLOOKUP(SuiviCouts[[#This Row],[Types blocs]],DeclarationProd[],3,FALSE)="","",SUM(SuiviCouts[[#This Row],[Coût Terre]:[Coût Bande de cerclage]]))</f>
        <v/>
      </c>
      <c r="M32" s="42" t="str">
        <f>IFERROR('Déclaration Consommation'!$D$4*(SuiviCouts[[#This Row],[Quantité produite]]/'Déclaration Production'!$D$4),"")</f>
        <v/>
      </c>
      <c r="N32" s="42" t="str">
        <f>IFERROR((SuiviCouts[[#This Row],[Total coût matière]]+SuiviCouts[[#This Row],[Valeur Surconsommation/Saving]])/SuiviCouts[[#This Row],[Quantité produite]],"")</f>
        <v/>
      </c>
      <c r="O32" s="42" t="str">
        <f>IFERROR('Frais de gestion'!$C$5*(SuiviCouts[[#This Row],[Quantité produite]]/'Déclaration Production'!$D$4),"")</f>
        <v/>
      </c>
      <c r="P32" s="44" t="str">
        <f>IFERROR(SuiviCouts[[#This Row],[Coût matière réel / bloc]]+(SuiviCouts[[#This Row],[Frais de gestion imputés]]/SuiviCouts[[#This Row],[Quantité produite]]),"")</f>
        <v/>
      </c>
      <c r="Q32" s="42" t="str">
        <f>IFERROR(VLOOKUP(SuiviCouts[[#This Row],[Types blocs]],CompositionBlocs[],12,FALSE),"")</f>
        <v/>
      </c>
      <c r="R32" s="45" t="str">
        <f>IFERROR((SuiviCouts[[#This Row],[Coût réel/Bloc]]-SuiviCouts[[#This Row],[Coût Cible/Bloc]])/SuiviCouts[[#This Row],[Coût Cible/Bloc]],"")</f>
        <v/>
      </c>
      <c r="S32" s="42" t="str">
        <f>IFERROR(IF(VLOOKUP(SuiviCouts[[#This Row],[Types blocs]],CompositionBlocs[],3,FALSE)="","",VLOOKUP(SuiviCouts[[#This Row],[Types blocs]],CompositionBlocs[],3,FALSE)),"")</f>
        <v/>
      </c>
      <c r="T32" s="42" t="str">
        <f>IFERROR(SuiviCouts[[#This Row],[Prix de vente]]-SuiviCouts[[#This Row],[Coût réel/Bloc]],"")</f>
        <v/>
      </c>
      <c r="U32" s="45" t="str">
        <f>IFERROR((SuiviCouts[[#This Row],[Marge / Bloc]]-(SuiviCouts[[#This Row],[Prix de vente]]-SuiviCouts[[#This Row],[Coût Cible/Bloc]]))/(SuiviCouts[[#This Row],[Prix de vente]]-SuiviCouts[[#This Row],[Coût Cible/Bloc]]),"")</f>
        <v/>
      </c>
    </row>
    <row r="33" spans="2:21" ht="30" customHeight="1" x14ac:dyDescent="0.35">
      <c r="B33" s="38" t="str">
        <f>IF(CompositionBlocs[[#This Row],[Types blocs]]="","",CompositionBlocs[[#This Row],[Types blocs]])</f>
        <v/>
      </c>
      <c r="C33" s="39" t="str">
        <f>IFERROR(IF(VLOOKUP(SuiviCouts[[#This Row],[Types blocs]],DeclarationProd[],3,FALSE)="","",VLOOKUP(SuiviCouts[[#This Row],[Types blocs]],DeclarationProd[],3,FALSE)),"")</f>
        <v/>
      </c>
      <c r="D33" s="40" t="str">
        <f>IFERROR(SuiviCouts[[#This Row],[Quantité produite]]*VLOOKUP(SuiviCouts[[#This Row],[Types blocs]],CompositionBlocs[],4,FALSE),"")</f>
        <v/>
      </c>
      <c r="E33" s="40" t="str">
        <f>IFERROR(SuiviCouts[[#This Row],[Quantité produite]]*VLOOKUP(SuiviCouts[[#This Row],[Types blocs]],CompositionBlocs[],5,FALSE),"")</f>
        <v/>
      </c>
      <c r="F33" s="41" t="str">
        <f>IFERROR(ROUNDUP(SuiviCouts[[#This Row],[Quantité produite]]*VLOOKUP(SuiviCouts[[#This Row],[Types blocs]],CompositionBlocs[],6,FALSE),0),"")</f>
        <v/>
      </c>
      <c r="G33" s="40" t="str">
        <f>IFERROR(SuiviCouts[[#This Row],[Quantité produite]]*VLOOKUP(SuiviCouts[[#This Row],[Types blocs]],CompositionBlocs[],7,FALSE),"")</f>
        <v/>
      </c>
      <c r="H33" s="42" t="str">
        <f>IFERROR(SuiviCouts[[#This Row],[Quantité produite]]*VLOOKUP(SuiviCouts[[#This Row],[Types blocs]],CompositionBlocs[],8,FALSE),"")</f>
        <v/>
      </c>
      <c r="I33" s="43" t="str">
        <f>IFERROR(SuiviCouts[[#This Row],[Quantité produite]]*VLOOKUP(SuiviCouts[[#This Row],[Types blocs]],CompositionBlocs[],9,FALSE),"")</f>
        <v/>
      </c>
      <c r="J33" s="42" t="str">
        <f>IFERROR(SuiviCouts[[#This Row],[Quantité produite]]*VLOOKUP(SuiviCouts[[#This Row],[Types blocs]],CompositionBlocs[],10,FALSE),"")</f>
        <v/>
      </c>
      <c r="K33" s="42" t="str">
        <f>IFERROR(SuiviCouts[[#This Row],[Quantité produite]]*VLOOKUP(SuiviCouts[[#This Row],[Types blocs]],CompositionBlocs[],11,FALSE),"")</f>
        <v/>
      </c>
      <c r="L33" s="42" t="str">
        <f>IF(VLOOKUP(SuiviCouts[[#This Row],[Types blocs]],DeclarationProd[],3,FALSE)="","",SUM(SuiviCouts[[#This Row],[Coût Terre]:[Coût Bande de cerclage]]))</f>
        <v/>
      </c>
      <c r="M33" s="42" t="str">
        <f>IFERROR('Déclaration Consommation'!$D$4*(SuiviCouts[[#This Row],[Quantité produite]]/'Déclaration Production'!$D$4),"")</f>
        <v/>
      </c>
      <c r="N33" s="42" t="str">
        <f>IFERROR((SuiviCouts[[#This Row],[Total coût matière]]+SuiviCouts[[#This Row],[Valeur Surconsommation/Saving]])/SuiviCouts[[#This Row],[Quantité produite]],"")</f>
        <v/>
      </c>
      <c r="O33" s="42" t="str">
        <f>IFERROR('Frais de gestion'!$C$5*(SuiviCouts[[#This Row],[Quantité produite]]/'Déclaration Production'!$D$4),"")</f>
        <v/>
      </c>
      <c r="P33" s="44" t="str">
        <f>IFERROR(SuiviCouts[[#This Row],[Coût matière réel / bloc]]+(SuiviCouts[[#This Row],[Frais de gestion imputés]]/SuiviCouts[[#This Row],[Quantité produite]]),"")</f>
        <v/>
      </c>
      <c r="Q33" s="42" t="str">
        <f>IFERROR(VLOOKUP(SuiviCouts[[#This Row],[Types blocs]],CompositionBlocs[],12,FALSE),"")</f>
        <v/>
      </c>
      <c r="R33" s="45" t="str">
        <f>IFERROR((SuiviCouts[[#This Row],[Coût réel/Bloc]]-SuiviCouts[[#This Row],[Coût Cible/Bloc]])/SuiviCouts[[#This Row],[Coût Cible/Bloc]],"")</f>
        <v/>
      </c>
      <c r="S33" s="42" t="str">
        <f>IFERROR(IF(VLOOKUP(SuiviCouts[[#This Row],[Types blocs]],CompositionBlocs[],3,FALSE)="","",VLOOKUP(SuiviCouts[[#This Row],[Types blocs]],CompositionBlocs[],3,FALSE)),"")</f>
        <v/>
      </c>
      <c r="T33" s="42" t="str">
        <f>IFERROR(SuiviCouts[[#This Row],[Prix de vente]]-SuiviCouts[[#This Row],[Coût réel/Bloc]],"")</f>
        <v/>
      </c>
      <c r="U33" s="45" t="str">
        <f>IFERROR((SuiviCouts[[#This Row],[Marge / Bloc]]-(SuiviCouts[[#This Row],[Prix de vente]]-SuiviCouts[[#This Row],[Coût Cible/Bloc]]))/(SuiviCouts[[#This Row],[Prix de vente]]-SuiviCouts[[#This Row],[Coût Cible/Bloc]]),"")</f>
        <v/>
      </c>
    </row>
    <row r="34" spans="2:21" ht="30" customHeight="1" x14ac:dyDescent="0.35">
      <c r="B34" s="38" t="str">
        <f>IF(CompositionBlocs[[#This Row],[Types blocs]]="","",CompositionBlocs[[#This Row],[Types blocs]])</f>
        <v/>
      </c>
      <c r="C34" s="39" t="str">
        <f>IFERROR(IF(VLOOKUP(SuiviCouts[[#This Row],[Types blocs]],DeclarationProd[],3,FALSE)="","",VLOOKUP(SuiviCouts[[#This Row],[Types blocs]],DeclarationProd[],3,FALSE)),"")</f>
        <v/>
      </c>
      <c r="D34" s="40" t="str">
        <f>IFERROR(SuiviCouts[[#This Row],[Quantité produite]]*VLOOKUP(SuiviCouts[[#This Row],[Types blocs]],CompositionBlocs[],4,FALSE),"")</f>
        <v/>
      </c>
      <c r="E34" s="40" t="str">
        <f>IFERROR(SuiviCouts[[#This Row],[Quantité produite]]*VLOOKUP(SuiviCouts[[#This Row],[Types blocs]],CompositionBlocs[],5,FALSE),"")</f>
        <v/>
      </c>
      <c r="F34" s="41" t="str">
        <f>IFERROR(ROUNDUP(SuiviCouts[[#This Row],[Quantité produite]]*VLOOKUP(SuiviCouts[[#This Row],[Types blocs]],CompositionBlocs[],6,FALSE),0),"")</f>
        <v/>
      </c>
      <c r="G34" s="40" t="str">
        <f>IFERROR(SuiviCouts[[#This Row],[Quantité produite]]*VLOOKUP(SuiviCouts[[#This Row],[Types blocs]],CompositionBlocs[],7,FALSE),"")</f>
        <v/>
      </c>
      <c r="H34" s="42" t="str">
        <f>IFERROR(SuiviCouts[[#This Row],[Quantité produite]]*VLOOKUP(SuiviCouts[[#This Row],[Types blocs]],CompositionBlocs[],8,FALSE),"")</f>
        <v/>
      </c>
      <c r="I34" s="43" t="str">
        <f>IFERROR(SuiviCouts[[#This Row],[Quantité produite]]*VLOOKUP(SuiviCouts[[#This Row],[Types blocs]],CompositionBlocs[],9,FALSE),"")</f>
        <v/>
      </c>
      <c r="J34" s="42" t="str">
        <f>IFERROR(SuiviCouts[[#This Row],[Quantité produite]]*VLOOKUP(SuiviCouts[[#This Row],[Types blocs]],CompositionBlocs[],10,FALSE),"")</f>
        <v/>
      </c>
      <c r="K34" s="42" t="str">
        <f>IFERROR(SuiviCouts[[#This Row],[Quantité produite]]*VLOOKUP(SuiviCouts[[#This Row],[Types blocs]],CompositionBlocs[],11,FALSE),"")</f>
        <v/>
      </c>
      <c r="L34" s="42" t="str">
        <f>IF(VLOOKUP(SuiviCouts[[#This Row],[Types blocs]],DeclarationProd[],3,FALSE)="","",SUM(SuiviCouts[[#This Row],[Coût Terre]:[Coût Bande de cerclage]]))</f>
        <v/>
      </c>
      <c r="M34" s="42" t="str">
        <f>IFERROR('Déclaration Consommation'!$D$4*(SuiviCouts[[#This Row],[Quantité produite]]/'Déclaration Production'!$D$4),"")</f>
        <v/>
      </c>
      <c r="N34" s="42" t="str">
        <f>IFERROR((SuiviCouts[[#This Row],[Total coût matière]]+SuiviCouts[[#This Row],[Valeur Surconsommation/Saving]])/SuiviCouts[[#This Row],[Quantité produite]],"")</f>
        <v/>
      </c>
      <c r="O34" s="42" t="str">
        <f>IFERROR('Frais de gestion'!$C$5*(SuiviCouts[[#This Row],[Quantité produite]]/'Déclaration Production'!$D$4),"")</f>
        <v/>
      </c>
      <c r="P34" s="44" t="str">
        <f>IFERROR(SuiviCouts[[#This Row],[Coût matière réel / bloc]]+(SuiviCouts[[#This Row],[Frais de gestion imputés]]/SuiviCouts[[#This Row],[Quantité produite]]),"")</f>
        <v/>
      </c>
      <c r="Q34" s="42" t="str">
        <f>IFERROR(VLOOKUP(SuiviCouts[[#This Row],[Types blocs]],CompositionBlocs[],12,FALSE),"")</f>
        <v/>
      </c>
      <c r="R34" s="45" t="str">
        <f>IFERROR((SuiviCouts[[#This Row],[Coût réel/Bloc]]-SuiviCouts[[#This Row],[Coût Cible/Bloc]])/SuiviCouts[[#This Row],[Coût Cible/Bloc]],"")</f>
        <v/>
      </c>
      <c r="S34" s="42" t="str">
        <f>IFERROR(IF(VLOOKUP(SuiviCouts[[#This Row],[Types blocs]],CompositionBlocs[],3,FALSE)="","",VLOOKUP(SuiviCouts[[#This Row],[Types blocs]],CompositionBlocs[],3,FALSE)),"")</f>
        <v/>
      </c>
      <c r="T34" s="42" t="str">
        <f>IFERROR(SuiviCouts[[#This Row],[Prix de vente]]-SuiviCouts[[#This Row],[Coût réel/Bloc]],"")</f>
        <v/>
      </c>
      <c r="U34" s="45" t="str">
        <f>IFERROR((SuiviCouts[[#This Row],[Marge / Bloc]]-(SuiviCouts[[#This Row],[Prix de vente]]-SuiviCouts[[#This Row],[Coût Cible/Bloc]]))/(SuiviCouts[[#This Row],[Prix de vente]]-SuiviCouts[[#This Row],[Coût Cible/Bloc]]),"")</f>
        <v/>
      </c>
    </row>
    <row r="35" spans="2:21" ht="30" customHeight="1" x14ac:dyDescent="0.35">
      <c r="B35" s="38" t="str">
        <f>IF(CompositionBlocs[[#This Row],[Types blocs]]="","",CompositionBlocs[[#This Row],[Types blocs]])</f>
        <v/>
      </c>
      <c r="C35" s="39" t="str">
        <f>IFERROR(IF(VLOOKUP(SuiviCouts[[#This Row],[Types blocs]],DeclarationProd[],3,FALSE)="","",VLOOKUP(SuiviCouts[[#This Row],[Types blocs]],DeclarationProd[],3,FALSE)),"")</f>
        <v/>
      </c>
      <c r="D35" s="40" t="str">
        <f>IFERROR(SuiviCouts[[#This Row],[Quantité produite]]*VLOOKUP(SuiviCouts[[#This Row],[Types blocs]],CompositionBlocs[],4,FALSE),"")</f>
        <v/>
      </c>
      <c r="E35" s="40" t="str">
        <f>IFERROR(SuiviCouts[[#This Row],[Quantité produite]]*VLOOKUP(SuiviCouts[[#This Row],[Types blocs]],CompositionBlocs[],5,FALSE),"")</f>
        <v/>
      </c>
      <c r="F35" s="41" t="str">
        <f>IFERROR(ROUNDUP(SuiviCouts[[#This Row],[Quantité produite]]*VLOOKUP(SuiviCouts[[#This Row],[Types blocs]],CompositionBlocs[],6,FALSE),0),"")</f>
        <v/>
      </c>
      <c r="G35" s="40" t="str">
        <f>IFERROR(SuiviCouts[[#This Row],[Quantité produite]]*VLOOKUP(SuiviCouts[[#This Row],[Types blocs]],CompositionBlocs[],7,FALSE),"")</f>
        <v/>
      </c>
      <c r="H35" s="42" t="str">
        <f>IFERROR(SuiviCouts[[#This Row],[Quantité produite]]*VLOOKUP(SuiviCouts[[#This Row],[Types blocs]],CompositionBlocs[],8,FALSE),"")</f>
        <v/>
      </c>
      <c r="I35" s="43" t="str">
        <f>IFERROR(SuiviCouts[[#This Row],[Quantité produite]]*VLOOKUP(SuiviCouts[[#This Row],[Types blocs]],CompositionBlocs[],9,FALSE),"")</f>
        <v/>
      </c>
      <c r="J35" s="42" t="str">
        <f>IFERROR(SuiviCouts[[#This Row],[Quantité produite]]*VLOOKUP(SuiviCouts[[#This Row],[Types blocs]],CompositionBlocs[],10,FALSE),"")</f>
        <v/>
      </c>
      <c r="K35" s="42" t="str">
        <f>IFERROR(SuiviCouts[[#This Row],[Quantité produite]]*VLOOKUP(SuiviCouts[[#This Row],[Types blocs]],CompositionBlocs[],11,FALSE),"")</f>
        <v/>
      </c>
      <c r="L35" s="42" t="str">
        <f>IF(VLOOKUP(SuiviCouts[[#This Row],[Types blocs]],DeclarationProd[],3,FALSE)="","",SUM(SuiviCouts[[#This Row],[Coût Terre]:[Coût Bande de cerclage]]))</f>
        <v/>
      </c>
      <c r="M35" s="42" t="str">
        <f>IFERROR('Déclaration Consommation'!$D$4*(SuiviCouts[[#This Row],[Quantité produite]]/'Déclaration Production'!$D$4),"")</f>
        <v/>
      </c>
      <c r="N35" s="42" t="str">
        <f>IFERROR((SuiviCouts[[#This Row],[Total coût matière]]+SuiviCouts[[#This Row],[Valeur Surconsommation/Saving]])/SuiviCouts[[#This Row],[Quantité produite]],"")</f>
        <v/>
      </c>
      <c r="O35" s="42" t="str">
        <f>IFERROR('Frais de gestion'!$C$5*(SuiviCouts[[#This Row],[Quantité produite]]/'Déclaration Production'!$D$4),"")</f>
        <v/>
      </c>
      <c r="P35" s="44" t="str">
        <f>IFERROR(SuiviCouts[[#This Row],[Coût matière réel / bloc]]+(SuiviCouts[[#This Row],[Frais de gestion imputés]]/SuiviCouts[[#This Row],[Quantité produite]]),"")</f>
        <v/>
      </c>
      <c r="Q35" s="42" t="str">
        <f>IFERROR(VLOOKUP(SuiviCouts[[#This Row],[Types blocs]],CompositionBlocs[],12,FALSE),"")</f>
        <v/>
      </c>
      <c r="R35" s="45" t="str">
        <f>IFERROR((SuiviCouts[[#This Row],[Coût réel/Bloc]]-SuiviCouts[[#This Row],[Coût Cible/Bloc]])/SuiviCouts[[#This Row],[Coût Cible/Bloc]],"")</f>
        <v/>
      </c>
      <c r="S35" s="42" t="str">
        <f>IFERROR(IF(VLOOKUP(SuiviCouts[[#This Row],[Types blocs]],CompositionBlocs[],3,FALSE)="","",VLOOKUP(SuiviCouts[[#This Row],[Types blocs]],CompositionBlocs[],3,FALSE)),"")</f>
        <v/>
      </c>
      <c r="T35" s="42" t="str">
        <f>IFERROR(SuiviCouts[[#This Row],[Prix de vente]]-SuiviCouts[[#This Row],[Coût réel/Bloc]],"")</f>
        <v/>
      </c>
      <c r="U35" s="45" t="str">
        <f>IFERROR((SuiviCouts[[#This Row],[Marge / Bloc]]-(SuiviCouts[[#This Row],[Prix de vente]]-SuiviCouts[[#This Row],[Coût Cible/Bloc]]))/(SuiviCouts[[#This Row],[Prix de vente]]-SuiviCouts[[#This Row],[Coût Cible/Bloc]]),"")</f>
        <v/>
      </c>
    </row>
    <row r="36" spans="2:21" ht="30" customHeight="1" x14ac:dyDescent="0.35">
      <c r="B36" s="38" t="str">
        <f>IF(CompositionBlocs[[#This Row],[Types blocs]]="","",CompositionBlocs[[#This Row],[Types blocs]])</f>
        <v/>
      </c>
      <c r="C36" s="39" t="str">
        <f>IFERROR(IF(VLOOKUP(SuiviCouts[[#This Row],[Types blocs]],DeclarationProd[],3,FALSE)="","",VLOOKUP(SuiviCouts[[#This Row],[Types blocs]],DeclarationProd[],3,FALSE)),"")</f>
        <v/>
      </c>
      <c r="D36" s="40" t="str">
        <f>IFERROR(SuiviCouts[[#This Row],[Quantité produite]]*VLOOKUP(SuiviCouts[[#This Row],[Types blocs]],CompositionBlocs[],4,FALSE),"")</f>
        <v/>
      </c>
      <c r="E36" s="40" t="str">
        <f>IFERROR(SuiviCouts[[#This Row],[Quantité produite]]*VLOOKUP(SuiviCouts[[#This Row],[Types blocs]],CompositionBlocs[],5,FALSE),"")</f>
        <v/>
      </c>
      <c r="F36" s="41" t="str">
        <f>IFERROR(ROUNDUP(SuiviCouts[[#This Row],[Quantité produite]]*VLOOKUP(SuiviCouts[[#This Row],[Types blocs]],CompositionBlocs[],6,FALSE),0),"")</f>
        <v/>
      </c>
      <c r="G36" s="40" t="str">
        <f>IFERROR(SuiviCouts[[#This Row],[Quantité produite]]*VLOOKUP(SuiviCouts[[#This Row],[Types blocs]],CompositionBlocs[],7,FALSE),"")</f>
        <v/>
      </c>
      <c r="H36" s="42" t="str">
        <f>IFERROR(SuiviCouts[[#This Row],[Quantité produite]]*VLOOKUP(SuiviCouts[[#This Row],[Types blocs]],CompositionBlocs[],8,FALSE),"")</f>
        <v/>
      </c>
      <c r="I36" s="43" t="str">
        <f>IFERROR(SuiviCouts[[#This Row],[Quantité produite]]*VLOOKUP(SuiviCouts[[#This Row],[Types blocs]],CompositionBlocs[],9,FALSE),"")</f>
        <v/>
      </c>
      <c r="J36" s="42" t="str">
        <f>IFERROR(SuiviCouts[[#This Row],[Quantité produite]]*VLOOKUP(SuiviCouts[[#This Row],[Types blocs]],CompositionBlocs[],10,FALSE),"")</f>
        <v/>
      </c>
      <c r="K36" s="42" t="str">
        <f>IFERROR(SuiviCouts[[#This Row],[Quantité produite]]*VLOOKUP(SuiviCouts[[#This Row],[Types blocs]],CompositionBlocs[],11,FALSE),"")</f>
        <v/>
      </c>
      <c r="L36" s="42" t="str">
        <f>IF(VLOOKUP(SuiviCouts[[#This Row],[Types blocs]],DeclarationProd[],3,FALSE)="","",SUM(SuiviCouts[[#This Row],[Coût Terre]:[Coût Bande de cerclage]]))</f>
        <v/>
      </c>
      <c r="M36" s="42" t="str">
        <f>IFERROR('Déclaration Consommation'!$D$4*(SuiviCouts[[#This Row],[Quantité produite]]/'Déclaration Production'!$D$4),"")</f>
        <v/>
      </c>
      <c r="N36" s="42" t="str">
        <f>IFERROR((SuiviCouts[[#This Row],[Total coût matière]]+SuiviCouts[[#This Row],[Valeur Surconsommation/Saving]])/SuiviCouts[[#This Row],[Quantité produite]],"")</f>
        <v/>
      </c>
      <c r="O36" s="42" t="str">
        <f>IFERROR('Frais de gestion'!$C$5*(SuiviCouts[[#This Row],[Quantité produite]]/'Déclaration Production'!$D$4),"")</f>
        <v/>
      </c>
      <c r="P36" s="44" t="str">
        <f>IFERROR(SuiviCouts[[#This Row],[Coût matière réel / bloc]]+(SuiviCouts[[#This Row],[Frais de gestion imputés]]/SuiviCouts[[#This Row],[Quantité produite]]),"")</f>
        <v/>
      </c>
      <c r="Q36" s="42" t="str">
        <f>IFERROR(VLOOKUP(SuiviCouts[[#This Row],[Types blocs]],CompositionBlocs[],12,FALSE),"")</f>
        <v/>
      </c>
      <c r="R36" s="45" t="str">
        <f>IFERROR((SuiviCouts[[#This Row],[Coût réel/Bloc]]-SuiviCouts[[#This Row],[Coût Cible/Bloc]])/SuiviCouts[[#This Row],[Coût Cible/Bloc]],"")</f>
        <v/>
      </c>
      <c r="S36" s="42" t="str">
        <f>IFERROR(IF(VLOOKUP(SuiviCouts[[#This Row],[Types blocs]],CompositionBlocs[],3,FALSE)="","",VLOOKUP(SuiviCouts[[#This Row],[Types blocs]],CompositionBlocs[],3,FALSE)),"")</f>
        <v/>
      </c>
      <c r="T36" s="42" t="str">
        <f>IFERROR(SuiviCouts[[#This Row],[Prix de vente]]-SuiviCouts[[#This Row],[Coût réel/Bloc]],"")</f>
        <v/>
      </c>
      <c r="U36" s="45" t="str">
        <f>IFERROR((SuiviCouts[[#This Row],[Marge / Bloc]]-(SuiviCouts[[#This Row],[Prix de vente]]-SuiviCouts[[#This Row],[Coût Cible/Bloc]]))/(SuiviCouts[[#This Row],[Prix de vente]]-SuiviCouts[[#This Row],[Coût Cible/Bloc]]),"")</f>
        <v/>
      </c>
    </row>
    <row r="37" spans="2:21" ht="30" customHeight="1" x14ac:dyDescent="0.35">
      <c r="B37" s="38" t="str">
        <f>IF(CompositionBlocs[[#This Row],[Types blocs]]="","",CompositionBlocs[[#This Row],[Types blocs]])</f>
        <v/>
      </c>
      <c r="C37" s="39" t="str">
        <f>IFERROR(IF(VLOOKUP(SuiviCouts[[#This Row],[Types blocs]],DeclarationProd[],3,FALSE)="","",VLOOKUP(SuiviCouts[[#This Row],[Types blocs]],DeclarationProd[],3,FALSE)),"")</f>
        <v/>
      </c>
      <c r="D37" s="40" t="str">
        <f>IFERROR(SuiviCouts[[#This Row],[Quantité produite]]*VLOOKUP(SuiviCouts[[#This Row],[Types blocs]],CompositionBlocs[],4,FALSE),"")</f>
        <v/>
      </c>
      <c r="E37" s="40" t="str">
        <f>IFERROR(SuiviCouts[[#This Row],[Quantité produite]]*VLOOKUP(SuiviCouts[[#This Row],[Types blocs]],CompositionBlocs[],5,FALSE),"")</f>
        <v/>
      </c>
      <c r="F37" s="41" t="str">
        <f>IFERROR(ROUNDUP(SuiviCouts[[#This Row],[Quantité produite]]*VLOOKUP(SuiviCouts[[#This Row],[Types blocs]],CompositionBlocs[],6,FALSE),0),"")</f>
        <v/>
      </c>
      <c r="G37" s="40" t="str">
        <f>IFERROR(SuiviCouts[[#This Row],[Quantité produite]]*VLOOKUP(SuiviCouts[[#This Row],[Types blocs]],CompositionBlocs[],7,FALSE),"")</f>
        <v/>
      </c>
      <c r="H37" s="42" t="str">
        <f>IFERROR(SuiviCouts[[#This Row],[Quantité produite]]*VLOOKUP(SuiviCouts[[#This Row],[Types blocs]],CompositionBlocs[],8,FALSE),"")</f>
        <v/>
      </c>
      <c r="I37" s="43" t="str">
        <f>IFERROR(SuiviCouts[[#This Row],[Quantité produite]]*VLOOKUP(SuiviCouts[[#This Row],[Types blocs]],CompositionBlocs[],9,FALSE),"")</f>
        <v/>
      </c>
      <c r="J37" s="42" t="str">
        <f>IFERROR(SuiviCouts[[#This Row],[Quantité produite]]*VLOOKUP(SuiviCouts[[#This Row],[Types blocs]],CompositionBlocs[],10,FALSE),"")</f>
        <v/>
      </c>
      <c r="K37" s="42" t="str">
        <f>IFERROR(SuiviCouts[[#This Row],[Quantité produite]]*VLOOKUP(SuiviCouts[[#This Row],[Types blocs]],CompositionBlocs[],11,FALSE),"")</f>
        <v/>
      </c>
      <c r="L37" s="42" t="str">
        <f>IF(VLOOKUP(SuiviCouts[[#This Row],[Types blocs]],DeclarationProd[],3,FALSE)="","",SUM(SuiviCouts[[#This Row],[Coût Terre]:[Coût Bande de cerclage]]))</f>
        <v/>
      </c>
      <c r="M37" s="42" t="str">
        <f>IFERROR('Déclaration Consommation'!$D$4*(SuiviCouts[[#This Row],[Quantité produite]]/'Déclaration Production'!$D$4),"")</f>
        <v/>
      </c>
      <c r="N37" s="42" t="str">
        <f>IFERROR((SuiviCouts[[#This Row],[Total coût matière]]+SuiviCouts[[#This Row],[Valeur Surconsommation/Saving]])/SuiviCouts[[#This Row],[Quantité produite]],"")</f>
        <v/>
      </c>
      <c r="O37" s="42" t="str">
        <f>IFERROR('Frais de gestion'!$C$5*(SuiviCouts[[#This Row],[Quantité produite]]/'Déclaration Production'!$D$4),"")</f>
        <v/>
      </c>
      <c r="P37" s="44" t="str">
        <f>IFERROR(SuiviCouts[[#This Row],[Coût matière réel / bloc]]+(SuiviCouts[[#This Row],[Frais de gestion imputés]]/SuiviCouts[[#This Row],[Quantité produite]]),"")</f>
        <v/>
      </c>
      <c r="Q37" s="42" t="str">
        <f>IFERROR(VLOOKUP(SuiviCouts[[#This Row],[Types blocs]],CompositionBlocs[],12,FALSE),"")</f>
        <v/>
      </c>
      <c r="R37" s="45" t="str">
        <f>IFERROR((SuiviCouts[[#This Row],[Coût réel/Bloc]]-SuiviCouts[[#This Row],[Coût Cible/Bloc]])/SuiviCouts[[#This Row],[Coût Cible/Bloc]],"")</f>
        <v/>
      </c>
      <c r="S37" s="42" t="str">
        <f>IFERROR(IF(VLOOKUP(SuiviCouts[[#This Row],[Types blocs]],CompositionBlocs[],3,FALSE)="","",VLOOKUP(SuiviCouts[[#This Row],[Types blocs]],CompositionBlocs[],3,FALSE)),"")</f>
        <v/>
      </c>
      <c r="T37" s="42" t="str">
        <f>IFERROR(SuiviCouts[[#This Row],[Prix de vente]]-SuiviCouts[[#This Row],[Coût réel/Bloc]],"")</f>
        <v/>
      </c>
      <c r="U37" s="45" t="str">
        <f>IFERROR((SuiviCouts[[#This Row],[Marge / Bloc]]-(SuiviCouts[[#This Row],[Prix de vente]]-SuiviCouts[[#This Row],[Coût Cible/Bloc]]))/(SuiviCouts[[#This Row],[Prix de vente]]-SuiviCouts[[#This Row],[Coût Cible/Bloc]]),"")</f>
        <v/>
      </c>
    </row>
    <row r="38" spans="2:21" ht="30" customHeight="1" x14ac:dyDescent="0.35">
      <c r="B38" s="38" t="str">
        <f>IF(CompositionBlocs[[#This Row],[Types blocs]]="","",CompositionBlocs[[#This Row],[Types blocs]])</f>
        <v/>
      </c>
      <c r="C38" s="39" t="str">
        <f>IFERROR(IF(VLOOKUP(SuiviCouts[[#This Row],[Types blocs]],DeclarationProd[],3,FALSE)="","",VLOOKUP(SuiviCouts[[#This Row],[Types blocs]],DeclarationProd[],3,FALSE)),"")</f>
        <v/>
      </c>
      <c r="D38" s="40" t="str">
        <f>IFERROR(SuiviCouts[[#This Row],[Quantité produite]]*VLOOKUP(SuiviCouts[[#This Row],[Types blocs]],CompositionBlocs[],4,FALSE),"")</f>
        <v/>
      </c>
      <c r="E38" s="40" t="str">
        <f>IFERROR(SuiviCouts[[#This Row],[Quantité produite]]*VLOOKUP(SuiviCouts[[#This Row],[Types blocs]],CompositionBlocs[],5,FALSE),"")</f>
        <v/>
      </c>
      <c r="F38" s="41" t="str">
        <f>IFERROR(ROUNDUP(SuiviCouts[[#This Row],[Quantité produite]]*VLOOKUP(SuiviCouts[[#This Row],[Types blocs]],CompositionBlocs[],6,FALSE),0),"")</f>
        <v/>
      </c>
      <c r="G38" s="40" t="str">
        <f>IFERROR(SuiviCouts[[#This Row],[Quantité produite]]*VLOOKUP(SuiviCouts[[#This Row],[Types blocs]],CompositionBlocs[],7,FALSE),"")</f>
        <v/>
      </c>
      <c r="H38" s="42" t="str">
        <f>IFERROR(SuiviCouts[[#This Row],[Quantité produite]]*VLOOKUP(SuiviCouts[[#This Row],[Types blocs]],CompositionBlocs[],8,FALSE),"")</f>
        <v/>
      </c>
      <c r="I38" s="43" t="str">
        <f>IFERROR(SuiviCouts[[#This Row],[Quantité produite]]*VLOOKUP(SuiviCouts[[#This Row],[Types blocs]],CompositionBlocs[],9,FALSE),"")</f>
        <v/>
      </c>
      <c r="J38" s="42" t="str">
        <f>IFERROR(SuiviCouts[[#This Row],[Quantité produite]]*VLOOKUP(SuiviCouts[[#This Row],[Types blocs]],CompositionBlocs[],10,FALSE),"")</f>
        <v/>
      </c>
      <c r="K38" s="42" t="str">
        <f>IFERROR(SuiviCouts[[#This Row],[Quantité produite]]*VLOOKUP(SuiviCouts[[#This Row],[Types blocs]],CompositionBlocs[],11,FALSE),"")</f>
        <v/>
      </c>
      <c r="L38" s="42" t="str">
        <f>IF(VLOOKUP(SuiviCouts[[#This Row],[Types blocs]],DeclarationProd[],3,FALSE)="","",SUM(SuiviCouts[[#This Row],[Coût Terre]:[Coût Bande de cerclage]]))</f>
        <v/>
      </c>
      <c r="M38" s="42" t="str">
        <f>IFERROR('Déclaration Consommation'!$D$4*(SuiviCouts[[#This Row],[Quantité produite]]/'Déclaration Production'!$D$4),"")</f>
        <v/>
      </c>
      <c r="N38" s="42" t="str">
        <f>IFERROR((SuiviCouts[[#This Row],[Total coût matière]]+SuiviCouts[[#This Row],[Valeur Surconsommation/Saving]])/SuiviCouts[[#This Row],[Quantité produite]],"")</f>
        <v/>
      </c>
      <c r="O38" s="42" t="str">
        <f>IFERROR('Frais de gestion'!$C$5*(SuiviCouts[[#This Row],[Quantité produite]]/'Déclaration Production'!$D$4),"")</f>
        <v/>
      </c>
      <c r="P38" s="44" t="str">
        <f>IFERROR(SuiviCouts[[#This Row],[Coût matière réel / bloc]]+(SuiviCouts[[#This Row],[Frais de gestion imputés]]/SuiviCouts[[#This Row],[Quantité produite]]),"")</f>
        <v/>
      </c>
      <c r="Q38" s="42" t="str">
        <f>IFERROR(VLOOKUP(SuiviCouts[[#This Row],[Types blocs]],CompositionBlocs[],12,FALSE),"")</f>
        <v/>
      </c>
      <c r="R38" s="45" t="str">
        <f>IFERROR((SuiviCouts[[#This Row],[Coût réel/Bloc]]-SuiviCouts[[#This Row],[Coût Cible/Bloc]])/SuiviCouts[[#This Row],[Coût Cible/Bloc]],"")</f>
        <v/>
      </c>
      <c r="S38" s="42" t="str">
        <f>IFERROR(IF(VLOOKUP(SuiviCouts[[#This Row],[Types blocs]],CompositionBlocs[],3,FALSE)="","",VLOOKUP(SuiviCouts[[#This Row],[Types blocs]],CompositionBlocs[],3,FALSE)),"")</f>
        <v/>
      </c>
      <c r="T38" s="42" t="str">
        <f>IFERROR(SuiviCouts[[#This Row],[Prix de vente]]-SuiviCouts[[#This Row],[Coût réel/Bloc]],"")</f>
        <v/>
      </c>
      <c r="U38" s="45" t="str">
        <f>IFERROR((SuiviCouts[[#This Row],[Marge / Bloc]]-(SuiviCouts[[#This Row],[Prix de vente]]-SuiviCouts[[#This Row],[Coût Cible/Bloc]]))/(SuiviCouts[[#This Row],[Prix de vente]]-SuiviCouts[[#This Row],[Coût Cible/Bloc]]),"")</f>
        <v/>
      </c>
    </row>
    <row r="39" spans="2:21" ht="30" customHeight="1" x14ac:dyDescent="0.35">
      <c r="B39" s="38" t="str">
        <f>IF(CompositionBlocs[[#This Row],[Types blocs]]="","",CompositionBlocs[[#This Row],[Types blocs]])</f>
        <v/>
      </c>
      <c r="C39" s="39" t="str">
        <f>IFERROR(IF(VLOOKUP(SuiviCouts[[#This Row],[Types blocs]],DeclarationProd[],3,FALSE)="","",VLOOKUP(SuiviCouts[[#This Row],[Types blocs]],DeclarationProd[],3,FALSE)),"")</f>
        <v/>
      </c>
      <c r="D39" s="40" t="str">
        <f>IFERROR(SuiviCouts[[#This Row],[Quantité produite]]*VLOOKUP(SuiviCouts[[#This Row],[Types blocs]],CompositionBlocs[],4,FALSE),"")</f>
        <v/>
      </c>
      <c r="E39" s="40" t="str">
        <f>IFERROR(SuiviCouts[[#This Row],[Quantité produite]]*VLOOKUP(SuiviCouts[[#This Row],[Types blocs]],CompositionBlocs[],5,FALSE),"")</f>
        <v/>
      </c>
      <c r="F39" s="41" t="str">
        <f>IFERROR(ROUNDUP(SuiviCouts[[#This Row],[Quantité produite]]*VLOOKUP(SuiviCouts[[#This Row],[Types blocs]],CompositionBlocs[],6,FALSE),0),"")</f>
        <v/>
      </c>
      <c r="G39" s="40" t="str">
        <f>IFERROR(SuiviCouts[[#This Row],[Quantité produite]]*VLOOKUP(SuiviCouts[[#This Row],[Types blocs]],CompositionBlocs[],7,FALSE),"")</f>
        <v/>
      </c>
      <c r="H39" s="42" t="str">
        <f>IFERROR(SuiviCouts[[#This Row],[Quantité produite]]*VLOOKUP(SuiviCouts[[#This Row],[Types blocs]],CompositionBlocs[],8,FALSE),"")</f>
        <v/>
      </c>
      <c r="I39" s="43" t="str">
        <f>IFERROR(SuiviCouts[[#This Row],[Quantité produite]]*VLOOKUP(SuiviCouts[[#This Row],[Types blocs]],CompositionBlocs[],9,FALSE),"")</f>
        <v/>
      </c>
      <c r="J39" s="42" t="str">
        <f>IFERROR(SuiviCouts[[#This Row],[Quantité produite]]*VLOOKUP(SuiviCouts[[#This Row],[Types blocs]],CompositionBlocs[],10,FALSE),"")</f>
        <v/>
      </c>
      <c r="K39" s="42" t="str">
        <f>IFERROR(SuiviCouts[[#This Row],[Quantité produite]]*VLOOKUP(SuiviCouts[[#This Row],[Types blocs]],CompositionBlocs[],11,FALSE),"")</f>
        <v/>
      </c>
      <c r="L39" s="42" t="str">
        <f>IF(VLOOKUP(SuiviCouts[[#This Row],[Types blocs]],DeclarationProd[],3,FALSE)="","",SUM(SuiviCouts[[#This Row],[Coût Terre]:[Coût Bande de cerclage]]))</f>
        <v/>
      </c>
      <c r="M39" s="42" t="str">
        <f>IFERROR('Déclaration Consommation'!$D$4*(SuiviCouts[[#This Row],[Quantité produite]]/'Déclaration Production'!$D$4),"")</f>
        <v/>
      </c>
      <c r="N39" s="42" t="str">
        <f>IFERROR((SuiviCouts[[#This Row],[Total coût matière]]+SuiviCouts[[#This Row],[Valeur Surconsommation/Saving]])/SuiviCouts[[#This Row],[Quantité produite]],"")</f>
        <v/>
      </c>
      <c r="O39" s="42" t="str">
        <f>IFERROR('Frais de gestion'!$C$5*(SuiviCouts[[#This Row],[Quantité produite]]/'Déclaration Production'!$D$4),"")</f>
        <v/>
      </c>
      <c r="P39" s="44" t="str">
        <f>IFERROR(SuiviCouts[[#This Row],[Coût matière réel / bloc]]+(SuiviCouts[[#This Row],[Frais de gestion imputés]]/SuiviCouts[[#This Row],[Quantité produite]]),"")</f>
        <v/>
      </c>
      <c r="Q39" s="42" t="str">
        <f>IFERROR(VLOOKUP(SuiviCouts[[#This Row],[Types blocs]],CompositionBlocs[],12,FALSE),"")</f>
        <v/>
      </c>
      <c r="R39" s="45" t="str">
        <f>IFERROR((SuiviCouts[[#This Row],[Coût réel/Bloc]]-SuiviCouts[[#This Row],[Coût Cible/Bloc]])/SuiviCouts[[#This Row],[Coût Cible/Bloc]],"")</f>
        <v/>
      </c>
      <c r="S39" s="42" t="str">
        <f>IFERROR(IF(VLOOKUP(SuiviCouts[[#This Row],[Types blocs]],CompositionBlocs[],3,FALSE)="","",VLOOKUP(SuiviCouts[[#This Row],[Types blocs]],CompositionBlocs[],3,FALSE)),"")</f>
        <v/>
      </c>
      <c r="T39" s="42" t="str">
        <f>IFERROR(SuiviCouts[[#This Row],[Prix de vente]]-SuiviCouts[[#This Row],[Coût réel/Bloc]],"")</f>
        <v/>
      </c>
      <c r="U39" s="45" t="str">
        <f>IFERROR((SuiviCouts[[#This Row],[Marge / Bloc]]-(SuiviCouts[[#This Row],[Prix de vente]]-SuiviCouts[[#This Row],[Coût Cible/Bloc]]))/(SuiviCouts[[#This Row],[Prix de vente]]-SuiviCouts[[#This Row],[Coût Cible/Bloc]]),"")</f>
        <v/>
      </c>
    </row>
    <row r="40" spans="2:21" ht="30" customHeight="1" x14ac:dyDescent="0.35">
      <c r="B40" s="38" t="str">
        <f>IF(CompositionBlocs[[#This Row],[Types blocs]]="","",CompositionBlocs[[#This Row],[Types blocs]])</f>
        <v/>
      </c>
      <c r="C40" s="39" t="str">
        <f>IFERROR(IF(VLOOKUP(SuiviCouts[[#This Row],[Types blocs]],DeclarationProd[],3,FALSE)="","",VLOOKUP(SuiviCouts[[#This Row],[Types blocs]],DeclarationProd[],3,FALSE)),"")</f>
        <v/>
      </c>
      <c r="D40" s="40" t="str">
        <f>IFERROR(SuiviCouts[[#This Row],[Quantité produite]]*VLOOKUP(SuiviCouts[[#This Row],[Types blocs]],CompositionBlocs[],4,FALSE),"")</f>
        <v/>
      </c>
      <c r="E40" s="40" t="str">
        <f>IFERROR(SuiviCouts[[#This Row],[Quantité produite]]*VLOOKUP(SuiviCouts[[#This Row],[Types blocs]],CompositionBlocs[],5,FALSE),"")</f>
        <v/>
      </c>
      <c r="F40" s="41" t="str">
        <f>IFERROR(ROUNDUP(SuiviCouts[[#This Row],[Quantité produite]]*VLOOKUP(SuiviCouts[[#This Row],[Types blocs]],CompositionBlocs[],6,FALSE),0),"")</f>
        <v/>
      </c>
      <c r="G40" s="40" t="str">
        <f>IFERROR(SuiviCouts[[#This Row],[Quantité produite]]*VLOOKUP(SuiviCouts[[#This Row],[Types blocs]],CompositionBlocs[],7,FALSE),"")</f>
        <v/>
      </c>
      <c r="H40" s="42" t="str">
        <f>IFERROR(SuiviCouts[[#This Row],[Quantité produite]]*VLOOKUP(SuiviCouts[[#This Row],[Types blocs]],CompositionBlocs[],8,FALSE),"")</f>
        <v/>
      </c>
      <c r="I40" s="43" t="str">
        <f>IFERROR(SuiviCouts[[#This Row],[Quantité produite]]*VLOOKUP(SuiviCouts[[#This Row],[Types blocs]],CompositionBlocs[],9,FALSE),"")</f>
        <v/>
      </c>
      <c r="J40" s="42" t="str">
        <f>IFERROR(SuiviCouts[[#This Row],[Quantité produite]]*VLOOKUP(SuiviCouts[[#This Row],[Types blocs]],CompositionBlocs[],10,FALSE),"")</f>
        <v/>
      </c>
      <c r="K40" s="42" t="str">
        <f>IFERROR(SuiviCouts[[#This Row],[Quantité produite]]*VLOOKUP(SuiviCouts[[#This Row],[Types blocs]],CompositionBlocs[],11,FALSE),"")</f>
        <v/>
      </c>
      <c r="L40" s="42" t="str">
        <f>IF(VLOOKUP(SuiviCouts[[#This Row],[Types blocs]],DeclarationProd[],3,FALSE)="","",SUM(SuiviCouts[[#This Row],[Coût Terre]:[Coût Bande de cerclage]]))</f>
        <v/>
      </c>
      <c r="M40" s="42" t="str">
        <f>IFERROR('Déclaration Consommation'!$D$4*(SuiviCouts[[#This Row],[Quantité produite]]/'Déclaration Production'!$D$4),"")</f>
        <v/>
      </c>
      <c r="N40" s="42" t="str">
        <f>IFERROR((SuiviCouts[[#This Row],[Total coût matière]]+SuiviCouts[[#This Row],[Valeur Surconsommation/Saving]])/SuiviCouts[[#This Row],[Quantité produite]],"")</f>
        <v/>
      </c>
      <c r="O40" s="42" t="str">
        <f>IFERROR('Frais de gestion'!$C$5*(SuiviCouts[[#This Row],[Quantité produite]]/'Déclaration Production'!$D$4),"")</f>
        <v/>
      </c>
      <c r="P40" s="44" t="str">
        <f>IFERROR(SuiviCouts[[#This Row],[Coût matière réel / bloc]]+(SuiviCouts[[#This Row],[Frais de gestion imputés]]/SuiviCouts[[#This Row],[Quantité produite]]),"")</f>
        <v/>
      </c>
      <c r="Q40" s="42" t="str">
        <f>IFERROR(VLOOKUP(SuiviCouts[[#This Row],[Types blocs]],CompositionBlocs[],12,FALSE),"")</f>
        <v/>
      </c>
      <c r="R40" s="45" t="str">
        <f>IFERROR((SuiviCouts[[#This Row],[Coût réel/Bloc]]-SuiviCouts[[#This Row],[Coût Cible/Bloc]])/SuiviCouts[[#This Row],[Coût Cible/Bloc]],"")</f>
        <v/>
      </c>
      <c r="S40" s="42" t="str">
        <f>IFERROR(IF(VLOOKUP(SuiviCouts[[#This Row],[Types blocs]],CompositionBlocs[],3,FALSE)="","",VLOOKUP(SuiviCouts[[#This Row],[Types blocs]],CompositionBlocs[],3,FALSE)),"")</f>
        <v/>
      </c>
      <c r="T40" s="42" t="str">
        <f>IFERROR(SuiviCouts[[#This Row],[Prix de vente]]-SuiviCouts[[#This Row],[Coût réel/Bloc]],"")</f>
        <v/>
      </c>
      <c r="U40" s="45" t="str">
        <f>IFERROR((SuiviCouts[[#This Row],[Marge / Bloc]]-(SuiviCouts[[#This Row],[Prix de vente]]-SuiviCouts[[#This Row],[Coût Cible/Bloc]]))/(SuiviCouts[[#This Row],[Prix de vente]]-SuiviCouts[[#This Row],[Coût Cible/Bloc]]),"")</f>
        <v/>
      </c>
    </row>
  </sheetData>
  <sheetProtection algorithmName="SHA-512" hashValue="Dj2kyD50oKFeBvMECHegK/vqMloSL8okzgXP9npCm6YTeoOZqqJvrkfZMuieTq37KZv7/mdSpNq9reTAFyEs+w==" saltValue="OFwPZMpj9ZBao4wrPXiU1w==" spinCount="100000" sheet="1" sort="0" autoFilter="0" pivotTables="0"/>
  <dataConsolidate>
    <dataRefs count="2">
      <dataRef ref="B8" sheet="Coûts " r:id="rId1"/>
      <dataRef ref="B8:L17" sheet="Coûts " r:id="rId2"/>
    </dataRefs>
  </dataConsolidate>
  <mergeCells count="3">
    <mergeCell ref="D6:G6"/>
    <mergeCell ref="H6:K6"/>
    <mergeCell ref="B1:U1"/>
  </mergeCells>
  <conditionalFormatting sqref="T8:T40">
    <cfRule type="cellIs" dxfId="68" priority="4" operator="lessThan">
      <formula>0</formula>
    </cfRule>
    <cfRule type="cellIs" dxfId="67" priority="5" operator="equal">
      <formula>0</formula>
    </cfRule>
    <cfRule type="cellIs" dxfId="66" priority="6" operator="greaterThan">
      <formula>0</formula>
    </cfRule>
  </conditionalFormatting>
  <conditionalFormatting sqref="T4">
    <cfRule type="cellIs" dxfId="65" priority="1" operator="lessThan">
      <formula>0</formula>
    </cfRule>
    <cfRule type="cellIs" dxfId="64" priority="2" operator="equal">
      <formula>0</formula>
    </cfRule>
    <cfRule type="cellIs" dxfId="63" priority="3" operator="greaterThan">
      <formula>0</formula>
    </cfRule>
  </conditionalFormatting>
  <pageMargins left="0.7" right="0.7" top="0.75" bottom="0.75" header="0.3" footer="0.3"/>
  <pageSetup orientation="portrait" r:id="rId3"/>
  <drawing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40"/>
  <sheetViews>
    <sheetView showGridLines="0" zoomScale="80" zoomScaleNormal="80" workbookViewId="0">
      <pane ySplit="7" topLeftCell="A8" activePane="bottomLeft" state="frozen"/>
      <selection activeCell="B1" sqref="B1:Q1"/>
      <selection pane="bottomLeft" activeCell="B1" sqref="B1:N1"/>
    </sheetView>
  </sheetViews>
  <sheetFormatPr baseColWidth="10" defaultColWidth="8.7265625" defaultRowHeight="18.5" x14ac:dyDescent="0.35"/>
  <cols>
    <col min="1" max="1" width="8.7265625" style="21"/>
    <col min="2" max="2" width="20.6328125" style="46" customWidth="1"/>
    <col min="3" max="4" width="12.6328125" style="46" customWidth="1"/>
    <col min="5" max="13" width="16.6328125" style="46" customWidth="1"/>
    <col min="14" max="14" width="6.453125" style="21" customWidth="1"/>
  </cols>
  <sheetData>
    <row r="1" spans="2:14" ht="56.5" customHeight="1" x14ac:dyDescent="0.35">
      <c r="B1" s="73" t="s">
        <v>71</v>
      </c>
      <c r="C1" s="73"/>
      <c r="D1" s="73"/>
      <c r="E1" s="73"/>
      <c r="F1" s="73"/>
      <c r="G1" s="73"/>
      <c r="H1" s="73"/>
      <c r="I1" s="73"/>
      <c r="J1" s="73"/>
      <c r="K1" s="73"/>
      <c r="L1" s="73"/>
      <c r="M1" s="73"/>
      <c r="N1" s="73"/>
    </row>
    <row r="2" spans="2:14" ht="8" customHeight="1" x14ac:dyDescent="0.35">
      <c r="B2" s="22"/>
      <c r="C2" s="22"/>
      <c r="D2" s="22"/>
      <c r="E2" s="23"/>
      <c r="F2" s="23"/>
      <c r="G2" s="23"/>
      <c r="H2" s="23"/>
      <c r="I2" s="23"/>
      <c r="J2" s="23"/>
      <c r="K2" s="23"/>
      <c r="L2" s="24"/>
      <c r="M2" s="23"/>
    </row>
    <row r="3" spans="2:14" x14ac:dyDescent="0.35">
      <c r="B3" s="24"/>
      <c r="C3" s="24"/>
      <c r="D3" s="24"/>
      <c r="E3" s="24"/>
      <c r="F3" s="24"/>
      <c r="G3" s="24"/>
      <c r="H3" s="24"/>
      <c r="I3" s="24"/>
      <c r="J3" s="24"/>
      <c r="K3" s="24"/>
      <c r="L3" s="24"/>
      <c r="M3" s="21"/>
    </row>
    <row r="4" spans="2:14" x14ac:dyDescent="0.35">
      <c r="B4" s="24"/>
      <c r="C4" s="24"/>
      <c r="D4" s="24"/>
      <c r="E4" s="24"/>
      <c r="F4" s="24"/>
      <c r="G4" s="24"/>
      <c r="H4" s="24"/>
      <c r="I4" s="24"/>
      <c r="J4" s="24"/>
      <c r="K4" s="24"/>
      <c r="L4" s="24"/>
      <c r="M4" s="21"/>
    </row>
    <row r="5" spans="2:14" x14ac:dyDescent="0.35">
      <c r="B5" s="24"/>
      <c r="C5" s="24"/>
      <c r="D5" s="24"/>
      <c r="E5" s="24"/>
      <c r="F5" s="24"/>
      <c r="G5" s="24"/>
      <c r="H5" s="24"/>
      <c r="I5" s="24"/>
      <c r="J5" s="24"/>
      <c r="K5" s="24"/>
      <c r="L5" s="24"/>
      <c r="M5" s="21"/>
    </row>
    <row r="6" spans="2:14" ht="18.5" customHeight="1" x14ac:dyDescent="0.35">
      <c r="B6" s="33"/>
      <c r="C6" s="33"/>
      <c r="D6" s="33"/>
      <c r="E6" s="75" t="s">
        <v>34</v>
      </c>
      <c r="F6" s="75"/>
      <c r="G6" s="75"/>
      <c r="H6" s="75"/>
      <c r="I6" s="76" t="s">
        <v>41</v>
      </c>
      <c r="J6" s="76"/>
      <c r="K6" s="76"/>
      <c r="L6" s="76"/>
      <c r="M6" s="21"/>
    </row>
    <row r="7" spans="2:14" ht="35" customHeight="1" x14ac:dyDescent="0.35">
      <c r="B7" s="50" t="s">
        <v>30</v>
      </c>
      <c r="C7" s="50" t="s">
        <v>31</v>
      </c>
      <c r="D7" s="50" t="s">
        <v>70</v>
      </c>
      <c r="E7" s="50" t="s">
        <v>99</v>
      </c>
      <c r="F7" s="50" t="s">
        <v>100</v>
      </c>
      <c r="G7" s="50" t="s">
        <v>101</v>
      </c>
      <c r="H7" s="50" t="s">
        <v>69</v>
      </c>
      <c r="I7" s="50" t="s">
        <v>51</v>
      </c>
      <c r="J7" s="50" t="s">
        <v>52</v>
      </c>
      <c r="K7" s="50" t="s">
        <v>58</v>
      </c>
      <c r="L7" s="50" t="s">
        <v>59</v>
      </c>
      <c r="M7" s="54" t="s">
        <v>102</v>
      </c>
    </row>
    <row r="8" spans="2:14" ht="25" customHeight="1" x14ac:dyDescent="0.35">
      <c r="B8" s="15" t="s">
        <v>36</v>
      </c>
      <c r="C8" s="16">
        <v>12</v>
      </c>
      <c r="D8" s="20">
        <v>1.3157894736842106</v>
      </c>
      <c r="E8" s="17">
        <f>IF(CompositionBlocs[[#This Row],[Types blocs]]="","",93%*CompositionBlocs[[#This Row],[Poids du bloc en kg]])</f>
        <v>11.16</v>
      </c>
      <c r="F8" s="17">
        <f>IF(CompositionBlocs[[#This Row],[Types blocs]]="","",7%*CompositionBlocs[[#This Row],[Poids du bloc en kg]])</f>
        <v>0.84000000000000008</v>
      </c>
      <c r="G8" s="17">
        <v>7.14285714285714E-3</v>
      </c>
      <c r="H8" s="17">
        <v>7.1428571428571425E-2</v>
      </c>
      <c r="I8" s="59">
        <f>IFERROR(IF(CompositionBlocs[[#This Row],[Types blocs]]="","",VLOOKUP("Terre",ParametrageMat[],6,FALSE)*CompositionBlocs[[#This Row],[Quantité Terre (kg)]]),"")</f>
        <v>9.8470588235294115E-2</v>
      </c>
      <c r="J8" s="60">
        <f>IFERROR(IF(CompositionBlocs[[#This Row],[Types blocs]]="","",VLOOKUP("Ciment",ParametrageMat[],6,FALSE)*CompositionBlocs[[#This Row],[Quantité Ciment (kg)]]),"")</f>
        <v>0.23520000000000005</v>
      </c>
      <c r="K8" s="59">
        <f>IFERROR(IF(CompositionBlocs[[#This Row],[Nombre de palette]]="","",VLOOKUP("Palette",ParametrageMat[],6,FALSE)*CompositionBlocs[[#This Row],[Nombre de palette]]),"")</f>
        <v>4.9999999999999982E-2</v>
      </c>
      <c r="L8" s="59">
        <f>IFERROR(IF(CompositionBlocs[[#This Row],[Bande de cerclage (m)]]="","",VLOOKUP("Bande de cerclage",ParametrageMat[],6,FALSE)*CompositionBlocs[[#This Row],[Bande de cerclage (m)]]),"")</f>
        <v>7.1428571428571426E-3</v>
      </c>
      <c r="M8" s="20">
        <v>0.76098311945222541</v>
      </c>
    </row>
    <row r="9" spans="2:14" ht="25" customHeight="1" x14ac:dyDescent="0.35">
      <c r="B9" s="15" t="s">
        <v>37</v>
      </c>
      <c r="C9" s="16">
        <v>10</v>
      </c>
      <c r="D9" s="20">
        <v>1.1842105263157894</v>
      </c>
      <c r="E9" s="17">
        <f>IF(CompositionBlocs[[#This Row],[Types blocs]]="","",93%*CompositionBlocs[[#This Row],[Poids du bloc en kg]])</f>
        <v>9.3000000000000007</v>
      </c>
      <c r="F9" s="17">
        <f>IF(CompositionBlocs[[#This Row],[Types blocs]]="","",7%*CompositionBlocs[[#This Row],[Poids du bloc en kg]])</f>
        <v>0.70000000000000007</v>
      </c>
      <c r="G9" s="17">
        <v>7.1428571428571426E-3</v>
      </c>
      <c r="H9" s="17">
        <v>7.1428571428571425E-2</v>
      </c>
      <c r="I9" s="59">
        <f>IFERROR(IF(CompositionBlocs[[#This Row],[Types blocs]]="","",VLOOKUP("Terre",ParametrageMat[],6,FALSE)*CompositionBlocs[[#This Row],[Quantité Terre (kg)]]),"")</f>
        <v>8.2058823529411767E-2</v>
      </c>
      <c r="J9" s="60">
        <f>IFERROR(IF(CompositionBlocs[[#This Row],[Types blocs]]="","",VLOOKUP("Ciment",ParametrageMat[],6,FALSE)*CompositionBlocs[[#This Row],[Quantité Ciment (kg)]]),"")</f>
        <v>0.19600000000000004</v>
      </c>
      <c r="K9" s="59">
        <f>IFERROR(IF(CompositionBlocs[[#This Row],[Nombre de palette]]="","",VLOOKUP("Palette",ParametrageMat[],6,FALSE)*CompositionBlocs[[#This Row],[Nombre de palette]]),"")</f>
        <v>4.9999999999999996E-2</v>
      </c>
      <c r="L9" s="59">
        <f>IFERROR(IF(CompositionBlocs[[#This Row],[Bande de cerclage (m)]]="","",VLOOKUP("Bande de cerclage",ParametrageMat[],6,FALSE)*CompositionBlocs[[#This Row],[Bande de cerclage (m)]]),"")</f>
        <v>7.1428571428571426E-3</v>
      </c>
      <c r="M9" s="20">
        <v>0.70537135474634294</v>
      </c>
    </row>
    <row r="10" spans="2:14" ht="25" customHeight="1" x14ac:dyDescent="0.35">
      <c r="B10" s="15" t="s">
        <v>38</v>
      </c>
      <c r="C10" s="16">
        <v>8</v>
      </c>
      <c r="D10" s="20">
        <v>1.0526315789473684</v>
      </c>
      <c r="E10" s="17">
        <f>IF(CompositionBlocs[[#This Row],[Types blocs]]="","",93%*CompositionBlocs[[#This Row],[Poids du bloc en kg]])</f>
        <v>7.44</v>
      </c>
      <c r="F10" s="17">
        <f>IF(CompositionBlocs[[#This Row],[Types blocs]]="","",7%*CompositionBlocs[[#This Row],[Poids du bloc en kg]])</f>
        <v>0.56000000000000005</v>
      </c>
      <c r="G10" s="17">
        <v>7.1428571428571426E-3</v>
      </c>
      <c r="H10" s="17">
        <v>7.1428571428571425E-2</v>
      </c>
      <c r="I10" s="59">
        <f>IFERROR(IF(CompositionBlocs[[#This Row],[Types blocs]]="","",VLOOKUP("Terre",ParametrageMat[],6,FALSE)*CompositionBlocs[[#This Row],[Quantité Terre (kg)]]),"")</f>
        <v>6.5647058823529419E-2</v>
      </c>
      <c r="J10" s="60">
        <f>IFERROR(IF(CompositionBlocs[[#This Row],[Types blocs]]="","",VLOOKUP("Ciment",ParametrageMat[],6,FALSE)*CompositionBlocs[[#This Row],[Quantité Ciment (kg)]]),"")</f>
        <v>0.15680000000000002</v>
      </c>
      <c r="K10" s="59">
        <f>IFERROR(IF(CompositionBlocs[[#This Row],[Nombre de palette]]="","",VLOOKUP("Palette",ParametrageMat[],6,FALSE)*CompositionBlocs[[#This Row],[Nombre de palette]]),"")</f>
        <v>4.9999999999999996E-2</v>
      </c>
      <c r="L10" s="59">
        <f>IFERROR(IF(CompositionBlocs[[#This Row],[Bande de cerclage (m)]]="","",VLOOKUP("Bande de cerclage",ParametrageMat[],6,FALSE)*CompositionBlocs[[#This Row],[Bande de cerclage (m)]]),"")</f>
        <v>7.1428571428571426E-3</v>
      </c>
      <c r="M10" s="20">
        <v>0.64975959004046058</v>
      </c>
    </row>
    <row r="11" spans="2:14" ht="25" customHeight="1" x14ac:dyDescent="0.35">
      <c r="B11" s="15" t="s">
        <v>39</v>
      </c>
      <c r="C11" s="16">
        <v>12</v>
      </c>
      <c r="D11" s="20">
        <v>2.5</v>
      </c>
      <c r="E11" s="17">
        <f>IF(CompositionBlocs[[#This Row],[Types blocs]]="","",93%*CompositionBlocs[[#This Row],[Poids du bloc en kg]])</f>
        <v>11.16</v>
      </c>
      <c r="F11" s="17">
        <f>IF(CompositionBlocs[[#This Row],[Types blocs]]="","",7%*CompositionBlocs[[#This Row],[Poids du bloc en kg]])</f>
        <v>0.84000000000000008</v>
      </c>
      <c r="G11" s="17">
        <v>7.1428571428571426E-3</v>
      </c>
      <c r="H11" s="17">
        <v>7.1428571428571425E-2</v>
      </c>
      <c r="I11" s="59">
        <f>IFERROR(IF(CompositionBlocs[[#This Row],[Types blocs]]="","",VLOOKUP("Terre",ParametrageMat[],6,FALSE)*CompositionBlocs[[#This Row],[Quantité Terre (kg)]]),"")</f>
        <v>9.8470588235294115E-2</v>
      </c>
      <c r="J11" s="60">
        <f>IFERROR(IF(CompositionBlocs[[#This Row],[Types blocs]]="","",VLOOKUP("Ciment",ParametrageMat[],6,FALSE)*CompositionBlocs[[#This Row],[Quantité Ciment (kg)]]),"")</f>
        <v>0.23520000000000005</v>
      </c>
      <c r="K11" s="59">
        <f>IFERROR(IF(CompositionBlocs[[#This Row],[Nombre de palette]]="","",VLOOKUP("Palette",ParametrageMat[],6,FALSE)*CompositionBlocs[[#This Row],[Nombre de palette]]),"")</f>
        <v>4.9999999999999996E-2</v>
      </c>
      <c r="L11" s="59">
        <f>IFERROR(IF(CompositionBlocs[[#This Row],[Bande de cerclage (m)]]="","",VLOOKUP("Bande de cerclage",ParametrageMat[],6,FALSE)*CompositionBlocs[[#This Row],[Bande de cerclage (m)]]),"")</f>
        <v>7.1428571428571426E-3</v>
      </c>
      <c r="M11" s="20">
        <v>0.76098311945222541</v>
      </c>
    </row>
    <row r="12" spans="2:14" ht="25" customHeight="1" x14ac:dyDescent="0.35">
      <c r="B12" s="15" t="s">
        <v>32</v>
      </c>
      <c r="C12" s="16">
        <v>12</v>
      </c>
      <c r="D12" s="20">
        <v>2.6666666666666665</v>
      </c>
      <c r="E12" s="17">
        <f>IF(CompositionBlocs[[#This Row],[Types blocs]]="","",93%*CompositionBlocs[[#This Row],[Poids du bloc en kg]])</f>
        <v>11.16</v>
      </c>
      <c r="F12" s="17">
        <f>IF(CompositionBlocs[[#This Row],[Types blocs]]="","",7%*CompositionBlocs[[#This Row],[Poids du bloc en kg]])</f>
        <v>0.84000000000000008</v>
      </c>
      <c r="G12" s="17">
        <v>7.1428571428571426E-3</v>
      </c>
      <c r="H12" s="17">
        <v>7.1428571428571425E-2</v>
      </c>
      <c r="I12" s="59">
        <f>IFERROR(IF(CompositionBlocs[[#This Row],[Types blocs]]="","",VLOOKUP("Terre",ParametrageMat[],6,FALSE)*CompositionBlocs[[#This Row],[Quantité Terre (kg)]]),"")</f>
        <v>9.8470588235294115E-2</v>
      </c>
      <c r="J12" s="60">
        <f>IFERROR(IF(CompositionBlocs[[#This Row],[Types blocs]]="","",VLOOKUP("Ciment",ParametrageMat[],6,FALSE)*CompositionBlocs[[#This Row],[Quantité Ciment (kg)]]),"")</f>
        <v>0.23520000000000005</v>
      </c>
      <c r="K12" s="59">
        <f>IFERROR(IF(CompositionBlocs[[#This Row],[Nombre de palette]]="","",VLOOKUP("Palette",ParametrageMat[],6,FALSE)*CompositionBlocs[[#This Row],[Nombre de palette]]),"")</f>
        <v>4.9999999999999996E-2</v>
      </c>
      <c r="L12" s="59">
        <f>IFERROR(IF(CompositionBlocs[[#This Row],[Bande de cerclage (m)]]="","",VLOOKUP("Bande de cerclage",ParametrageMat[],6,FALSE)*CompositionBlocs[[#This Row],[Bande de cerclage (m)]]),"")</f>
        <v>7.1428571428571426E-3</v>
      </c>
      <c r="M12" s="20">
        <v>0.76098311945222541</v>
      </c>
    </row>
    <row r="13" spans="2:14" ht="25" customHeight="1" x14ac:dyDescent="0.35">
      <c r="B13" s="15" t="s">
        <v>33</v>
      </c>
      <c r="C13" s="16">
        <v>9</v>
      </c>
      <c r="D13" s="20">
        <v>2.6666666666666665</v>
      </c>
      <c r="E13" s="17">
        <f>IF(CompositionBlocs[[#This Row],[Types blocs]]="","",93%*CompositionBlocs[[#This Row],[Poids du bloc en kg]])</f>
        <v>8.370000000000001</v>
      </c>
      <c r="F13" s="17">
        <f>IF(CompositionBlocs[[#This Row],[Types blocs]]="","",7%*CompositionBlocs[[#This Row],[Poids du bloc en kg]])</f>
        <v>0.63000000000000012</v>
      </c>
      <c r="G13" s="17">
        <v>7.1428571428571426E-3</v>
      </c>
      <c r="H13" s="17">
        <v>7.1428571428571425E-2</v>
      </c>
      <c r="I13" s="59">
        <f>IFERROR(IF(CompositionBlocs[[#This Row],[Types blocs]]="","",VLOOKUP("Terre",ParametrageMat[],6,FALSE)*CompositionBlocs[[#This Row],[Quantité Terre (kg)]]),"")</f>
        <v>7.3852941176470593E-2</v>
      </c>
      <c r="J13" s="60">
        <f>IFERROR(IF(CompositionBlocs[[#This Row],[Types blocs]]="","",VLOOKUP("Ciment",ParametrageMat[],6,FALSE)*CompositionBlocs[[#This Row],[Quantité Ciment (kg)]]),"")</f>
        <v>0.17640000000000006</v>
      </c>
      <c r="K13" s="59">
        <f>IFERROR(IF(CompositionBlocs[[#This Row],[Nombre de palette]]="","",VLOOKUP("Palette",ParametrageMat[],6,FALSE)*CompositionBlocs[[#This Row],[Nombre de palette]]),"")</f>
        <v>4.9999999999999996E-2</v>
      </c>
      <c r="L13" s="59">
        <f>IFERROR(IF(CompositionBlocs[[#This Row],[Bande de cerclage (m)]]="","",VLOOKUP("Bande de cerclage",ParametrageMat[],6,FALSE)*CompositionBlocs[[#This Row],[Bande de cerclage (m)]]),"")</f>
        <v>7.1428571428571426E-3</v>
      </c>
      <c r="M13" s="20">
        <v>0.67756547239340181</v>
      </c>
    </row>
    <row r="14" spans="2:14" ht="25" customHeight="1" x14ac:dyDescent="0.35">
      <c r="B14" s="15"/>
      <c r="C14" s="16"/>
      <c r="D14" s="20"/>
      <c r="E14" s="17"/>
      <c r="F14" s="17"/>
      <c r="G14" s="17"/>
      <c r="H14" s="17"/>
      <c r="I14" s="59" t="str">
        <f>IFERROR(IF(CompositionBlocs[[#This Row],[Types blocs]]="","",VLOOKUP("Terre",ParametrageMat[],6,FALSE)*CompositionBlocs[[#This Row],[Quantité Terre (kg)]]),"")</f>
        <v/>
      </c>
      <c r="J14" s="60" t="str">
        <f>IFERROR(IF(CompositionBlocs[[#This Row],[Types blocs]]="","",VLOOKUP("Ciment",ParametrageMat[],6,FALSE)*CompositionBlocs[[#This Row],[Quantité Ciment (kg)]]),"")</f>
        <v/>
      </c>
      <c r="K14" s="59" t="str">
        <f>IFERROR(IF(CompositionBlocs[[#This Row],[Nombre de palette]]="","",VLOOKUP("Palette",ParametrageMat[],6,FALSE)*CompositionBlocs[[#This Row],[Nombre de palette]]),"")</f>
        <v/>
      </c>
      <c r="L14" s="59" t="str">
        <f>IFERROR(IF(CompositionBlocs[[#This Row],[Bande de cerclage (m)]]="","",VLOOKUP("Bande de cerclage",ParametrageMat[],6,FALSE)*CompositionBlocs[[#This Row],[Bande de cerclage (m)]]),"")</f>
        <v/>
      </c>
      <c r="M14" s="20"/>
    </row>
    <row r="15" spans="2:14" ht="25" customHeight="1" x14ac:dyDescent="0.35">
      <c r="B15" s="15"/>
      <c r="C15" s="16"/>
      <c r="D15" s="20"/>
      <c r="E15" s="17"/>
      <c r="F15" s="17"/>
      <c r="G15" s="17"/>
      <c r="H15" s="17"/>
      <c r="I15" s="59" t="str">
        <f>IFERROR(IF(CompositionBlocs[[#This Row],[Types blocs]]="","",VLOOKUP("Terre",ParametrageMat[],6,FALSE)*CompositionBlocs[[#This Row],[Quantité Terre (kg)]]),"")</f>
        <v/>
      </c>
      <c r="J15" s="60" t="str">
        <f>IFERROR(IF(CompositionBlocs[[#This Row],[Types blocs]]="","",VLOOKUP("Ciment",ParametrageMat[],6,FALSE)*CompositionBlocs[[#This Row],[Quantité Ciment (kg)]]),"")</f>
        <v/>
      </c>
      <c r="K15" s="59" t="str">
        <f>IFERROR(IF(CompositionBlocs[[#This Row],[Nombre de palette]]="","",VLOOKUP("Palette",ParametrageMat[],6,FALSE)*CompositionBlocs[[#This Row],[Nombre de palette]]),"")</f>
        <v/>
      </c>
      <c r="L15" s="59" t="str">
        <f>IFERROR(IF(CompositionBlocs[[#This Row],[Bande de cerclage (m)]]="","",VLOOKUP("Bande de cerclage",ParametrageMat[],6,FALSE)*CompositionBlocs[[#This Row],[Bande de cerclage (m)]]),"")</f>
        <v/>
      </c>
      <c r="M15" s="20"/>
    </row>
    <row r="16" spans="2:14" ht="25" customHeight="1" x14ac:dyDescent="0.35">
      <c r="B16" s="15"/>
      <c r="C16" s="16"/>
      <c r="D16" s="20"/>
      <c r="E16" s="17"/>
      <c r="F16" s="17"/>
      <c r="G16" s="17"/>
      <c r="H16" s="17"/>
      <c r="I16" s="59" t="str">
        <f>IFERROR(IF(CompositionBlocs[[#This Row],[Types blocs]]="","",VLOOKUP("Terre",ParametrageMat[],6,FALSE)*CompositionBlocs[[#This Row],[Quantité Terre (kg)]]),"")</f>
        <v/>
      </c>
      <c r="J16" s="60" t="str">
        <f>IFERROR(IF(CompositionBlocs[[#This Row],[Types blocs]]="","",VLOOKUP("Ciment",ParametrageMat[],6,FALSE)*CompositionBlocs[[#This Row],[Quantité Ciment (kg)]]),"")</f>
        <v/>
      </c>
      <c r="K16" s="59" t="str">
        <f>IFERROR(IF(CompositionBlocs[[#This Row],[Nombre de palette]]="","",VLOOKUP("Palette",ParametrageMat[],6,FALSE)*CompositionBlocs[[#This Row],[Nombre de palette]]),"")</f>
        <v/>
      </c>
      <c r="L16" s="59" t="str">
        <f>IFERROR(IF(CompositionBlocs[[#This Row],[Bande de cerclage (m)]]="","",VLOOKUP("Bande de cerclage",ParametrageMat[],6,FALSE)*CompositionBlocs[[#This Row],[Bande de cerclage (m)]]),"")</f>
        <v/>
      </c>
      <c r="M16" s="20"/>
    </row>
    <row r="17" spans="2:13" ht="25" customHeight="1" x14ac:dyDescent="0.35">
      <c r="B17" s="15"/>
      <c r="C17" s="16"/>
      <c r="D17" s="20"/>
      <c r="E17" s="17"/>
      <c r="F17" s="17"/>
      <c r="G17" s="17"/>
      <c r="H17" s="17"/>
      <c r="I17" s="59" t="str">
        <f>IFERROR(IF(CompositionBlocs[[#This Row],[Types blocs]]="","",VLOOKUP("Terre",ParametrageMat[],6,FALSE)*CompositionBlocs[[#This Row],[Quantité Terre (kg)]]),"")</f>
        <v/>
      </c>
      <c r="J17" s="60" t="str">
        <f>IFERROR(IF(CompositionBlocs[[#This Row],[Types blocs]]="","",VLOOKUP("Ciment",ParametrageMat[],6,FALSE)*CompositionBlocs[[#This Row],[Quantité Ciment (kg)]]),"")</f>
        <v/>
      </c>
      <c r="K17" s="59" t="str">
        <f>IFERROR(IF(CompositionBlocs[[#This Row],[Nombre de palette]]="","",VLOOKUP("Palette",ParametrageMat[],6,FALSE)*CompositionBlocs[[#This Row],[Nombre de palette]]),"")</f>
        <v/>
      </c>
      <c r="L17" s="59" t="str">
        <f>IFERROR(IF(CompositionBlocs[[#This Row],[Bande de cerclage (m)]]="","",VLOOKUP("Bande de cerclage",ParametrageMat[],6,FALSE)*CompositionBlocs[[#This Row],[Bande de cerclage (m)]]),"")</f>
        <v/>
      </c>
      <c r="M17" s="20"/>
    </row>
    <row r="18" spans="2:13" ht="25" customHeight="1" x14ac:dyDescent="0.35">
      <c r="B18" s="15"/>
      <c r="C18" s="18"/>
      <c r="D18" s="61"/>
      <c r="E18" s="19" t="str">
        <f>IF(CompositionBlocs[[#This Row],[Types blocs]]="","",93%*CompositionBlocs[[#This Row],[Poids du bloc en kg]])</f>
        <v/>
      </c>
      <c r="F18" s="19" t="str">
        <f>IF(CompositionBlocs[[#This Row],[Types blocs]]="","",7%*CompositionBlocs[[#This Row],[Poids du bloc en kg]])</f>
        <v/>
      </c>
      <c r="G18" s="19"/>
      <c r="H18" s="19"/>
      <c r="I18" s="59" t="str">
        <f>IFERROR(IF(CompositionBlocs[[#This Row],[Types blocs]]="","",VLOOKUP("Terre",ParametrageMat[],6,FALSE)*CompositionBlocs[[#This Row],[Quantité Terre (kg)]]),"")</f>
        <v/>
      </c>
      <c r="J18" s="60" t="str">
        <f>IFERROR(IF(CompositionBlocs[[#This Row],[Types blocs]]="","",VLOOKUP("Ciment",ParametrageMat[],6,FALSE)*CompositionBlocs[[#This Row],[Quantité Ciment (kg)]]),"")</f>
        <v/>
      </c>
      <c r="K18" s="59" t="str">
        <f>IFERROR(IF(CompositionBlocs[[#This Row],[Nombre de palette]]="","",VLOOKUP("Palette",ParametrageMat[],6,FALSE)*CompositionBlocs[[#This Row],[Nombre de palette]]),"")</f>
        <v/>
      </c>
      <c r="L18" s="59" t="str">
        <f>IFERROR(IF(CompositionBlocs[[#This Row],[Bande de cerclage (m)]]="","",VLOOKUP("Bande de cerclage",ParametrageMat[],6,FALSE)*CompositionBlocs[[#This Row],[Bande de cerclage (m)]]),"")</f>
        <v/>
      </c>
      <c r="M18" s="20"/>
    </row>
    <row r="19" spans="2:13" ht="25" customHeight="1" x14ac:dyDescent="0.35">
      <c r="B19" s="15"/>
      <c r="C19" s="18"/>
      <c r="D19" s="61"/>
      <c r="E19" s="19" t="str">
        <f>IF(CompositionBlocs[[#This Row],[Types blocs]]="","",93%*CompositionBlocs[[#This Row],[Poids du bloc en kg]])</f>
        <v/>
      </c>
      <c r="F19" s="19" t="str">
        <f>IF(CompositionBlocs[[#This Row],[Types blocs]]="","",7%*CompositionBlocs[[#This Row],[Poids du bloc en kg]])</f>
        <v/>
      </c>
      <c r="G19" s="19"/>
      <c r="H19" s="19"/>
      <c r="I19" s="59" t="str">
        <f>IFERROR(IF(CompositionBlocs[[#This Row],[Types blocs]]="","",VLOOKUP("Terre",ParametrageMat[],6,FALSE)*CompositionBlocs[[#This Row],[Quantité Terre (kg)]]),"")</f>
        <v/>
      </c>
      <c r="J19" s="60" t="str">
        <f>IFERROR(IF(CompositionBlocs[[#This Row],[Types blocs]]="","",VLOOKUP("Ciment",ParametrageMat[],6,FALSE)*CompositionBlocs[[#This Row],[Quantité Ciment (kg)]]),"")</f>
        <v/>
      </c>
      <c r="K19" s="59" t="str">
        <f>IFERROR(IF(CompositionBlocs[[#This Row],[Nombre de palette]]="","",VLOOKUP("Palette",ParametrageMat[],6,FALSE)*CompositionBlocs[[#This Row],[Nombre de palette]]),"")</f>
        <v/>
      </c>
      <c r="L19" s="59" t="str">
        <f>IFERROR(IF(CompositionBlocs[[#This Row],[Bande de cerclage (m)]]="","",VLOOKUP("Bande de cerclage",ParametrageMat[],6,FALSE)*CompositionBlocs[[#This Row],[Bande de cerclage (m)]]),"")</f>
        <v/>
      </c>
      <c r="M19" s="20"/>
    </row>
    <row r="20" spans="2:13" ht="25" customHeight="1" x14ac:dyDescent="0.35">
      <c r="B20" s="15"/>
      <c r="C20" s="18"/>
      <c r="D20" s="61"/>
      <c r="E20" s="19" t="str">
        <f>IF(CompositionBlocs[[#This Row],[Types blocs]]="","",93%*CompositionBlocs[[#This Row],[Poids du bloc en kg]])</f>
        <v/>
      </c>
      <c r="F20" s="19" t="str">
        <f>IF(CompositionBlocs[[#This Row],[Types blocs]]="","",7%*CompositionBlocs[[#This Row],[Poids du bloc en kg]])</f>
        <v/>
      </c>
      <c r="G20" s="19"/>
      <c r="H20" s="19"/>
      <c r="I20" s="59" t="str">
        <f>IFERROR(IF(CompositionBlocs[[#This Row],[Types blocs]]="","",VLOOKUP("Terre",ParametrageMat[],6,FALSE)*CompositionBlocs[[#This Row],[Quantité Terre (kg)]]),"")</f>
        <v/>
      </c>
      <c r="J20" s="60" t="str">
        <f>IFERROR(IF(CompositionBlocs[[#This Row],[Types blocs]]="","",VLOOKUP("Ciment",ParametrageMat[],6,FALSE)*CompositionBlocs[[#This Row],[Quantité Ciment (kg)]]),"")</f>
        <v/>
      </c>
      <c r="K20" s="59" t="str">
        <f>IFERROR(IF(CompositionBlocs[[#This Row],[Nombre de palette]]="","",VLOOKUP("Palette",ParametrageMat[],6,FALSE)*CompositionBlocs[[#This Row],[Nombre de palette]]),"")</f>
        <v/>
      </c>
      <c r="L20" s="59" t="str">
        <f>IFERROR(IF(CompositionBlocs[[#This Row],[Bande de cerclage (m)]]="","",VLOOKUP("Bande de cerclage",ParametrageMat[],6,FALSE)*CompositionBlocs[[#This Row],[Bande de cerclage (m)]]),"")</f>
        <v/>
      </c>
      <c r="M20" s="20"/>
    </row>
    <row r="21" spans="2:13" ht="25" customHeight="1" x14ac:dyDescent="0.35">
      <c r="B21" s="15"/>
      <c r="C21" s="18"/>
      <c r="D21" s="61"/>
      <c r="E21" s="19" t="str">
        <f>IF(CompositionBlocs[[#This Row],[Types blocs]]="","",93%*CompositionBlocs[[#This Row],[Poids du bloc en kg]])</f>
        <v/>
      </c>
      <c r="F21" s="19" t="str">
        <f>IF(CompositionBlocs[[#This Row],[Types blocs]]="","",7%*CompositionBlocs[[#This Row],[Poids du bloc en kg]])</f>
        <v/>
      </c>
      <c r="G21" s="19"/>
      <c r="H21" s="19"/>
      <c r="I21" s="59" t="str">
        <f>IFERROR(IF(CompositionBlocs[[#This Row],[Types blocs]]="","",VLOOKUP("Terre",ParametrageMat[],6,FALSE)*CompositionBlocs[[#This Row],[Quantité Terre (kg)]]),"")</f>
        <v/>
      </c>
      <c r="J21" s="60" t="str">
        <f>IFERROR(IF(CompositionBlocs[[#This Row],[Types blocs]]="","",VLOOKUP("Ciment",ParametrageMat[],6,FALSE)*CompositionBlocs[[#This Row],[Quantité Ciment (kg)]]),"")</f>
        <v/>
      </c>
      <c r="K21" s="59" t="str">
        <f>IFERROR(IF(CompositionBlocs[[#This Row],[Nombre de palette]]="","",VLOOKUP("Palette",ParametrageMat[],6,FALSE)*CompositionBlocs[[#This Row],[Nombre de palette]]),"")</f>
        <v/>
      </c>
      <c r="L21" s="59" t="str">
        <f>IFERROR(IF(CompositionBlocs[[#This Row],[Bande de cerclage (m)]]="","",VLOOKUP("Bande de cerclage",ParametrageMat[],6,FALSE)*CompositionBlocs[[#This Row],[Bande de cerclage (m)]]),"")</f>
        <v/>
      </c>
      <c r="M21" s="20"/>
    </row>
    <row r="22" spans="2:13" ht="25" customHeight="1" x14ac:dyDescent="0.35">
      <c r="B22" s="15"/>
      <c r="C22" s="18"/>
      <c r="D22" s="61"/>
      <c r="E22" s="19" t="str">
        <f>IF(CompositionBlocs[[#This Row],[Types blocs]]="","",93%*CompositionBlocs[[#This Row],[Poids du bloc en kg]])</f>
        <v/>
      </c>
      <c r="F22" s="19" t="str">
        <f>IF(CompositionBlocs[[#This Row],[Types blocs]]="","",7%*CompositionBlocs[[#This Row],[Poids du bloc en kg]])</f>
        <v/>
      </c>
      <c r="G22" s="19"/>
      <c r="H22" s="19"/>
      <c r="I22" s="59" t="str">
        <f>IFERROR(IF(CompositionBlocs[[#This Row],[Types blocs]]="","",VLOOKUP("Terre",ParametrageMat[],6,FALSE)*CompositionBlocs[[#This Row],[Quantité Terre (kg)]]),"")</f>
        <v/>
      </c>
      <c r="J22" s="60" t="str">
        <f>IFERROR(IF(CompositionBlocs[[#This Row],[Types blocs]]="","",VLOOKUP("Ciment",ParametrageMat[],6,FALSE)*CompositionBlocs[[#This Row],[Quantité Ciment (kg)]]),"")</f>
        <v/>
      </c>
      <c r="K22" s="59" t="str">
        <f>IFERROR(IF(CompositionBlocs[[#This Row],[Nombre de palette]]="","",VLOOKUP("Palette",ParametrageMat[],6,FALSE)*CompositionBlocs[[#This Row],[Nombre de palette]]),"")</f>
        <v/>
      </c>
      <c r="L22" s="59" t="str">
        <f>IFERROR(IF(CompositionBlocs[[#This Row],[Bande de cerclage (m)]]="","",VLOOKUP("Bande de cerclage",ParametrageMat[],6,FALSE)*CompositionBlocs[[#This Row],[Bande de cerclage (m)]]),"")</f>
        <v/>
      </c>
      <c r="M22" s="20"/>
    </row>
    <row r="23" spans="2:13" ht="25" customHeight="1" x14ac:dyDescent="0.35">
      <c r="B23" s="15"/>
      <c r="C23" s="18"/>
      <c r="D23" s="61"/>
      <c r="E23" s="19" t="str">
        <f>IF(CompositionBlocs[[#This Row],[Types blocs]]="","",93%*CompositionBlocs[[#This Row],[Poids du bloc en kg]])</f>
        <v/>
      </c>
      <c r="F23" s="19" t="str">
        <f>IF(CompositionBlocs[[#This Row],[Types blocs]]="","",7%*CompositionBlocs[[#This Row],[Poids du bloc en kg]])</f>
        <v/>
      </c>
      <c r="G23" s="19"/>
      <c r="H23" s="19"/>
      <c r="I23" s="59" t="str">
        <f>IFERROR(IF(CompositionBlocs[[#This Row],[Types blocs]]="","",VLOOKUP("Terre",ParametrageMat[],6,FALSE)*CompositionBlocs[[#This Row],[Quantité Terre (kg)]]),"")</f>
        <v/>
      </c>
      <c r="J23" s="60" t="str">
        <f>IFERROR(IF(CompositionBlocs[[#This Row],[Types blocs]]="","",VLOOKUP("Ciment",ParametrageMat[],6,FALSE)*CompositionBlocs[[#This Row],[Quantité Ciment (kg)]]),"")</f>
        <v/>
      </c>
      <c r="K23" s="59" t="str">
        <f>IFERROR(IF(CompositionBlocs[[#This Row],[Nombre de palette]]="","",VLOOKUP("Palette",ParametrageMat[],6,FALSE)*CompositionBlocs[[#This Row],[Nombre de palette]]),"")</f>
        <v/>
      </c>
      <c r="L23" s="59" t="str">
        <f>IFERROR(IF(CompositionBlocs[[#This Row],[Bande de cerclage (m)]]="","",VLOOKUP("Bande de cerclage",ParametrageMat[],6,FALSE)*CompositionBlocs[[#This Row],[Bande de cerclage (m)]]),"")</f>
        <v/>
      </c>
      <c r="M23" s="20"/>
    </row>
    <row r="24" spans="2:13" ht="25" customHeight="1" x14ac:dyDescent="0.35">
      <c r="B24" s="15"/>
      <c r="C24" s="18"/>
      <c r="D24" s="61"/>
      <c r="E24" s="19" t="str">
        <f>IF(CompositionBlocs[[#This Row],[Types blocs]]="","",93%*CompositionBlocs[[#This Row],[Poids du bloc en kg]])</f>
        <v/>
      </c>
      <c r="F24" s="19" t="str">
        <f>IF(CompositionBlocs[[#This Row],[Types blocs]]="","",7%*CompositionBlocs[[#This Row],[Poids du bloc en kg]])</f>
        <v/>
      </c>
      <c r="G24" s="19"/>
      <c r="H24" s="19"/>
      <c r="I24" s="59" t="str">
        <f>IFERROR(IF(CompositionBlocs[[#This Row],[Types blocs]]="","",VLOOKUP("Terre",ParametrageMat[],6,FALSE)*CompositionBlocs[[#This Row],[Quantité Terre (kg)]]),"")</f>
        <v/>
      </c>
      <c r="J24" s="60" t="str">
        <f>IFERROR(IF(CompositionBlocs[[#This Row],[Types blocs]]="","",VLOOKUP("Ciment",ParametrageMat[],6,FALSE)*CompositionBlocs[[#This Row],[Quantité Ciment (kg)]]),"")</f>
        <v/>
      </c>
      <c r="K24" s="59" t="str">
        <f>IFERROR(IF(CompositionBlocs[[#This Row],[Nombre de palette]]="","",VLOOKUP("Palette",ParametrageMat[],6,FALSE)*CompositionBlocs[[#This Row],[Nombre de palette]]),"")</f>
        <v/>
      </c>
      <c r="L24" s="59" t="str">
        <f>IFERROR(IF(CompositionBlocs[[#This Row],[Bande de cerclage (m)]]="","",VLOOKUP("Bande de cerclage",ParametrageMat[],6,FALSE)*CompositionBlocs[[#This Row],[Bande de cerclage (m)]]),"")</f>
        <v/>
      </c>
      <c r="M24" s="20"/>
    </row>
    <row r="25" spans="2:13" ht="25" customHeight="1" x14ac:dyDescent="0.35">
      <c r="B25" s="15"/>
      <c r="C25" s="18"/>
      <c r="D25" s="61"/>
      <c r="E25" s="19" t="str">
        <f>IF(CompositionBlocs[[#This Row],[Types blocs]]="","",93%*CompositionBlocs[[#This Row],[Poids du bloc en kg]])</f>
        <v/>
      </c>
      <c r="F25" s="19" t="str">
        <f>IF(CompositionBlocs[[#This Row],[Types blocs]]="","",7%*CompositionBlocs[[#This Row],[Poids du bloc en kg]])</f>
        <v/>
      </c>
      <c r="G25" s="19"/>
      <c r="H25" s="19"/>
      <c r="I25" s="59" t="str">
        <f>IFERROR(IF(CompositionBlocs[[#This Row],[Types blocs]]="","",VLOOKUP("Terre",ParametrageMat[],6,FALSE)*CompositionBlocs[[#This Row],[Quantité Terre (kg)]]),"")</f>
        <v/>
      </c>
      <c r="J25" s="60" t="str">
        <f>IFERROR(IF(CompositionBlocs[[#This Row],[Types blocs]]="","",VLOOKUP("Ciment",ParametrageMat[],6,FALSE)*CompositionBlocs[[#This Row],[Quantité Ciment (kg)]]),"")</f>
        <v/>
      </c>
      <c r="K25" s="59" t="str">
        <f>IFERROR(IF(CompositionBlocs[[#This Row],[Nombre de palette]]="","",VLOOKUP("Palette",ParametrageMat[],6,FALSE)*CompositionBlocs[[#This Row],[Nombre de palette]]),"")</f>
        <v/>
      </c>
      <c r="L25" s="59" t="str">
        <f>IFERROR(IF(CompositionBlocs[[#This Row],[Bande de cerclage (m)]]="","",VLOOKUP("Bande de cerclage",ParametrageMat[],6,FALSE)*CompositionBlocs[[#This Row],[Bande de cerclage (m)]]),"")</f>
        <v/>
      </c>
      <c r="M25" s="20"/>
    </row>
    <row r="26" spans="2:13" ht="25" customHeight="1" x14ac:dyDescent="0.35">
      <c r="B26" s="15"/>
      <c r="C26" s="18"/>
      <c r="D26" s="61"/>
      <c r="E26" s="19" t="str">
        <f>IF(CompositionBlocs[[#This Row],[Types blocs]]="","",93%*CompositionBlocs[[#This Row],[Poids du bloc en kg]])</f>
        <v/>
      </c>
      <c r="F26" s="19" t="str">
        <f>IF(CompositionBlocs[[#This Row],[Types blocs]]="","",7%*CompositionBlocs[[#This Row],[Poids du bloc en kg]])</f>
        <v/>
      </c>
      <c r="G26" s="19"/>
      <c r="H26" s="19"/>
      <c r="I26" s="59" t="str">
        <f>IFERROR(IF(CompositionBlocs[[#This Row],[Types blocs]]="","",VLOOKUP("Terre",ParametrageMat[],6,FALSE)*CompositionBlocs[[#This Row],[Quantité Terre (kg)]]),"")</f>
        <v/>
      </c>
      <c r="J26" s="60" t="str">
        <f>IFERROR(IF(CompositionBlocs[[#This Row],[Types blocs]]="","",VLOOKUP("Ciment",ParametrageMat[],6,FALSE)*CompositionBlocs[[#This Row],[Quantité Ciment (kg)]]),"")</f>
        <v/>
      </c>
      <c r="K26" s="59" t="str">
        <f>IFERROR(IF(CompositionBlocs[[#This Row],[Nombre de palette]]="","",VLOOKUP("Palette",ParametrageMat[],6,FALSE)*CompositionBlocs[[#This Row],[Nombre de palette]]),"")</f>
        <v/>
      </c>
      <c r="L26" s="59" t="str">
        <f>IFERROR(IF(CompositionBlocs[[#This Row],[Bande de cerclage (m)]]="","",VLOOKUP("Bande de cerclage",ParametrageMat[],6,FALSE)*CompositionBlocs[[#This Row],[Bande de cerclage (m)]]),"")</f>
        <v/>
      </c>
      <c r="M26" s="20"/>
    </row>
    <row r="27" spans="2:13" ht="25" customHeight="1" x14ac:dyDescent="0.35">
      <c r="B27" s="15"/>
      <c r="C27" s="18"/>
      <c r="D27" s="61"/>
      <c r="E27" s="19" t="str">
        <f>IF(CompositionBlocs[[#This Row],[Types blocs]]="","",93%*CompositionBlocs[[#This Row],[Poids du bloc en kg]])</f>
        <v/>
      </c>
      <c r="F27" s="19" t="str">
        <f>IF(CompositionBlocs[[#This Row],[Types blocs]]="","",7%*CompositionBlocs[[#This Row],[Poids du bloc en kg]])</f>
        <v/>
      </c>
      <c r="G27" s="19"/>
      <c r="H27" s="19"/>
      <c r="I27" s="59" t="str">
        <f>IFERROR(IF(CompositionBlocs[[#This Row],[Types blocs]]="","",VLOOKUP("Terre",ParametrageMat[],6,FALSE)*CompositionBlocs[[#This Row],[Quantité Terre (kg)]]),"")</f>
        <v/>
      </c>
      <c r="J27" s="60" t="str">
        <f>IFERROR(IF(CompositionBlocs[[#This Row],[Types blocs]]="","",VLOOKUP("Ciment",ParametrageMat[],6,FALSE)*CompositionBlocs[[#This Row],[Quantité Ciment (kg)]]),"")</f>
        <v/>
      </c>
      <c r="K27" s="59" t="str">
        <f>IFERROR(IF(CompositionBlocs[[#This Row],[Nombre de palette]]="","",VLOOKUP("Palette",ParametrageMat[],6,FALSE)*CompositionBlocs[[#This Row],[Nombre de palette]]),"")</f>
        <v/>
      </c>
      <c r="L27" s="59" t="str">
        <f>IFERROR(IF(CompositionBlocs[[#This Row],[Bande de cerclage (m)]]="","",VLOOKUP("Bande de cerclage",ParametrageMat[],6,FALSE)*CompositionBlocs[[#This Row],[Bande de cerclage (m)]]),"")</f>
        <v/>
      </c>
      <c r="M27" s="20"/>
    </row>
    <row r="28" spans="2:13" ht="25" customHeight="1" x14ac:dyDescent="0.35">
      <c r="B28" s="15"/>
      <c r="C28" s="18"/>
      <c r="D28" s="61"/>
      <c r="E28" s="19" t="str">
        <f>IF(CompositionBlocs[[#This Row],[Types blocs]]="","",93%*CompositionBlocs[[#This Row],[Poids du bloc en kg]])</f>
        <v/>
      </c>
      <c r="F28" s="19" t="str">
        <f>IF(CompositionBlocs[[#This Row],[Types blocs]]="","",7%*CompositionBlocs[[#This Row],[Poids du bloc en kg]])</f>
        <v/>
      </c>
      <c r="G28" s="19"/>
      <c r="H28" s="19"/>
      <c r="I28" s="59" t="str">
        <f>IFERROR(IF(CompositionBlocs[[#This Row],[Types blocs]]="","",VLOOKUP("Terre",ParametrageMat[],6,FALSE)*CompositionBlocs[[#This Row],[Quantité Terre (kg)]]),"")</f>
        <v/>
      </c>
      <c r="J28" s="60" t="str">
        <f>IFERROR(IF(CompositionBlocs[[#This Row],[Types blocs]]="","",VLOOKUP("Ciment",ParametrageMat[],6,FALSE)*CompositionBlocs[[#This Row],[Quantité Ciment (kg)]]),"")</f>
        <v/>
      </c>
      <c r="K28" s="59" t="str">
        <f>IFERROR(IF(CompositionBlocs[[#This Row],[Nombre de palette]]="","",VLOOKUP("Palette",ParametrageMat[],6,FALSE)*CompositionBlocs[[#This Row],[Nombre de palette]]),"")</f>
        <v/>
      </c>
      <c r="L28" s="59" t="str">
        <f>IFERROR(IF(CompositionBlocs[[#This Row],[Bande de cerclage (m)]]="","",VLOOKUP("Bande de cerclage",ParametrageMat[],6,FALSE)*CompositionBlocs[[#This Row],[Bande de cerclage (m)]]),"")</f>
        <v/>
      </c>
      <c r="M28" s="20"/>
    </row>
    <row r="29" spans="2:13" ht="25" customHeight="1" x14ac:dyDescent="0.35">
      <c r="B29" s="15"/>
      <c r="C29" s="18"/>
      <c r="D29" s="61"/>
      <c r="E29" s="19" t="str">
        <f>IF(CompositionBlocs[[#This Row],[Types blocs]]="","",93%*CompositionBlocs[[#This Row],[Poids du bloc en kg]])</f>
        <v/>
      </c>
      <c r="F29" s="19" t="str">
        <f>IF(CompositionBlocs[[#This Row],[Types blocs]]="","",7%*CompositionBlocs[[#This Row],[Poids du bloc en kg]])</f>
        <v/>
      </c>
      <c r="G29" s="19"/>
      <c r="H29" s="19"/>
      <c r="I29" s="59" t="str">
        <f>IFERROR(IF(CompositionBlocs[[#This Row],[Types blocs]]="","",VLOOKUP("Terre",ParametrageMat[],6,FALSE)*CompositionBlocs[[#This Row],[Quantité Terre (kg)]]),"")</f>
        <v/>
      </c>
      <c r="J29" s="60" t="str">
        <f>IFERROR(IF(CompositionBlocs[[#This Row],[Types blocs]]="","",VLOOKUP("Ciment",ParametrageMat[],6,FALSE)*CompositionBlocs[[#This Row],[Quantité Ciment (kg)]]),"")</f>
        <v/>
      </c>
      <c r="K29" s="59" t="str">
        <f>IFERROR(IF(CompositionBlocs[[#This Row],[Nombre de palette]]="","",VLOOKUP("Palette",ParametrageMat[],6,FALSE)*CompositionBlocs[[#This Row],[Nombre de palette]]),"")</f>
        <v/>
      </c>
      <c r="L29" s="59" t="str">
        <f>IFERROR(IF(CompositionBlocs[[#This Row],[Bande de cerclage (m)]]="","",VLOOKUP("Bande de cerclage",ParametrageMat[],6,FALSE)*CompositionBlocs[[#This Row],[Bande de cerclage (m)]]),"")</f>
        <v/>
      </c>
      <c r="M29" s="20"/>
    </row>
    <row r="30" spans="2:13" ht="25" customHeight="1" x14ac:dyDescent="0.35">
      <c r="B30" s="15"/>
      <c r="C30" s="18"/>
      <c r="D30" s="61"/>
      <c r="E30" s="19" t="str">
        <f>IF(CompositionBlocs[[#This Row],[Types blocs]]="","",93%*CompositionBlocs[[#This Row],[Poids du bloc en kg]])</f>
        <v/>
      </c>
      <c r="F30" s="19" t="str">
        <f>IF(CompositionBlocs[[#This Row],[Types blocs]]="","",7%*CompositionBlocs[[#This Row],[Poids du bloc en kg]])</f>
        <v/>
      </c>
      <c r="G30" s="19"/>
      <c r="H30" s="19"/>
      <c r="I30" s="59" t="str">
        <f>IFERROR(IF(CompositionBlocs[[#This Row],[Types blocs]]="","",VLOOKUP("Terre",ParametrageMat[],6,FALSE)*CompositionBlocs[[#This Row],[Quantité Terre (kg)]]),"")</f>
        <v/>
      </c>
      <c r="J30" s="60" t="str">
        <f>IFERROR(IF(CompositionBlocs[[#This Row],[Types blocs]]="","",VLOOKUP("Ciment",ParametrageMat[],6,FALSE)*CompositionBlocs[[#This Row],[Quantité Ciment (kg)]]),"")</f>
        <v/>
      </c>
      <c r="K30" s="59" t="str">
        <f>IFERROR(IF(CompositionBlocs[[#This Row],[Nombre de palette]]="","",VLOOKUP("Palette",ParametrageMat[],6,FALSE)*CompositionBlocs[[#This Row],[Nombre de palette]]),"")</f>
        <v/>
      </c>
      <c r="L30" s="59" t="str">
        <f>IFERROR(IF(CompositionBlocs[[#This Row],[Bande de cerclage (m)]]="","",VLOOKUP("Bande de cerclage",ParametrageMat[],6,FALSE)*CompositionBlocs[[#This Row],[Bande de cerclage (m)]]),"")</f>
        <v/>
      </c>
      <c r="M30" s="20"/>
    </row>
    <row r="31" spans="2:13" ht="25" customHeight="1" x14ac:dyDescent="0.35">
      <c r="B31" s="18"/>
      <c r="C31" s="18"/>
      <c r="D31" s="61"/>
      <c r="E31" s="19" t="str">
        <f>IF(CompositionBlocs[[#This Row],[Types blocs]]="","",93%*CompositionBlocs[[#This Row],[Poids du bloc en kg]])</f>
        <v/>
      </c>
      <c r="F31" s="19" t="str">
        <f>IF(CompositionBlocs[[#This Row],[Types blocs]]="","",7%*CompositionBlocs[[#This Row],[Poids du bloc en kg]])</f>
        <v/>
      </c>
      <c r="G31" s="19"/>
      <c r="H31" s="19"/>
      <c r="I31" s="59" t="str">
        <f>IFERROR(IF(CompositionBlocs[[#This Row],[Types blocs]]="","",VLOOKUP("Terre",ParametrageMat[],6,FALSE)*CompositionBlocs[[#This Row],[Quantité Terre (kg)]]),"")</f>
        <v/>
      </c>
      <c r="J31" s="60" t="str">
        <f>IFERROR(IF(CompositionBlocs[[#This Row],[Types blocs]]="","",VLOOKUP("Ciment",ParametrageMat[],6,FALSE)*CompositionBlocs[[#This Row],[Quantité Ciment (kg)]]),"")</f>
        <v/>
      </c>
      <c r="K31" s="59" t="str">
        <f>IFERROR(IF(CompositionBlocs[[#This Row],[Nombre de palette]]="","",VLOOKUP("Palette",ParametrageMat[],6,FALSE)*CompositionBlocs[[#This Row],[Nombre de palette]]),"")</f>
        <v/>
      </c>
      <c r="L31" s="59" t="str">
        <f>IFERROR(IF(CompositionBlocs[[#This Row],[Bande de cerclage (m)]]="","",VLOOKUP("Bande de cerclage",ParametrageMat[],6,FALSE)*CompositionBlocs[[#This Row],[Bande de cerclage (m)]]),"")</f>
        <v/>
      </c>
      <c r="M31" s="20"/>
    </row>
    <row r="32" spans="2:13" ht="25" customHeight="1" x14ac:dyDescent="0.35">
      <c r="B32" s="18"/>
      <c r="C32" s="18"/>
      <c r="D32" s="61"/>
      <c r="E32" s="19" t="str">
        <f>IF(CompositionBlocs[[#This Row],[Types blocs]]="","",93%*CompositionBlocs[[#This Row],[Poids du bloc en kg]])</f>
        <v/>
      </c>
      <c r="F32" s="19" t="str">
        <f>IF(CompositionBlocs[[#This Row],[Types blocs]]="","",7%*CompositionBlocs[[#This Row],[Poids du bloc en kg]])</f>
        <v/>
      </c>
      <c r="G32" s="19"/>
      <c r="H32" s="19"/>
      <c r="I32" s="59" t="str">
        <f>IFERROR(IF(CompositionBlocs[[#This Row],[Types blocs]]="","",VLOOKUP("Terre",ParametrageMat[],6,FALSE)*CompositionBlocs[[#This Row],[Quantité Terre (kg)]]),"")</f>
        <v/>
      </c>
      <c r="J32" s="60" t="str">
        <f>IFERROR(IF(CompositionBlocs[[#This Row],[Types blocs]]="","",VLOOKUP("Ciment",ParametrageMat[],6,FALSE)*CompositionBlocs[[#This Row],[Quantité Ciment (kg)]]),"")</f>
        <v/>
      </c>
      <c r="K32" s="59" t="str">
        <f>IFERROR(IF(CompositionBlocs[[#This Row],[Nombre de palette]]="","",VLOOKUP("Palette",ParametrageMat[],6,FALSE)*CompositionBlocs[[#This Row],[Nombre de palette]]),"")</f>
        <v/>
      </c>
      <c r="L32" s="59" t="str">
        <f>IFERROR(IF(CompositionBlocs[[#This Row],[Bande de cerclage (m)]]="","",VLOOKUP("Bande de cerclage",ParametrageMat[],6,FALSE)*CompositionBlocs[[#This Row],[Bande de cerclage (m)]]),"")</f>
        <v/>
      </c>
      <c r="M32" s="20"/>
    </row>
    <row r="33" spans="2:13" ht="25" customHeight="1" x14ac:dyDescent="0.35">
      <c r="B33" s="18"/>
      <c r="C33" s="18"/>
      <c r="D33" s="61"/>
      <c r="E33" s="19" t="str">
        <f>IF(CompositionBlocs[[#This Row],[Types blocs]]="","",93%*CompositionBlocs[[#This Row],[Poids du bloc en kg]])</f>
        <v/>
      </c>
      <c r="F33" s="19" t="str">
        <f>IF(CompositionBlocs[[#This Row],[Types blocs]]="","",7%*CompositionBlocs[[#This Row],[Poids du bloc en kg]])</f>
        <v/>
      </c>
      <c r="G33" s="19"/>
      <c r="H33" s="19"/>
      <c r="I33" s="59" t="str">
        <f>IFERROR(IF(CompositionBlocs[[#This Row],[Types blocs]]="","",VLOOKUP("Terre",ParametrageMat[],6,FALSE)*CompositionBlocs[[#This Row],[Quantité Terre (kg)]]),"")</f>
        <v/>
      </c>
      <c r="J33" s="60" t="str">
        <f>IFERROR(IF(CompositionBlocs[[#This Row],[Types blocs]]="","",VLOOKUP("Ciment",ParametrageMat[],6,FALSE)*CompositionBlocs[[#This Row],[Quantité Ciment (kg)]]),"")</f>
        <v/>
      </c>
      <c r="K33" s="59" t="str">
        <f>IFERROR(IF(CompositionBlocs[[#This Row],[Nombre de palette]]="","",VLOOKUP("Palette",ParametrageMat[],6,FALSE)*CompositionBlocs[[#This Row],[Nombre de palette]]),"")</f>
        <v/>
      </c>
      <c r="L33" s="59" t="str">
        <f>IFERROR(IF(CompositionBlocs[[#This Row],[Bande de cerclage (m)]]="","",VLOOKUP("Bande de cerclage",ParametrageMat[],6,FALSE)*CompositionBlocs[[#This Row],[Bande de cerclage (m)]]),"")</f>
        <v/>
      </c>
      <c r="M33" s="20"/>
    </row>
    <row r="34" spans="2:13" ht="25" customHeight="1" x14ac:dyDescent="0.35">
      <c r="B34" s="18"/>
      <c r="C34" s="18"/>
      <c r="D34" s="61"/>
      <c r="E34" s="19" t="str">
        <f>IF(CompositionBlocs[[#This Row],[Types blocs]]="","",93%*CompositionBlocs[[#This Row],[Poids du bloc en kg]])</f>
        <v/>
      </c>
      <c r="F34" s="19" t="str">
        <f>IF(CompositionBlocs[[#This Row],[Types blocs]]="","",7%*CompositionBlocs[[#This Row],[Poids du bloc en kg]])</f>
        <v/>
      </c>
      <c r="G34" s="19"/>
      <c r="H34" s="19"/>
      <c r="I34" s="59" t="str">
        <f>IFERROR(IF(CompositionBlocs[[#This Row],[Types blocs]]="","",VLOOKUP("Terre",ParametrageMat[],6,FALSE)*CompositionBlocs[[#This Row],[Quantité Terre (kg)]]),"")</f>
        <v/>
      </c>
      <c r="J34" s="60" t="str">
        <f>IFERROR(IF(CompositionBlocs[[#This Row],[Types blocs]]="","",VLOOKUP("Ciment",ParametrageMat[],6,FALSE)*CompositionBlocs[[#This Row],[Quantité Ciment (kg)]]),"")</f>
        <v/>
      </c>
      <c r="K34" s="59" t="str">
        <f>IFERROR(IF(CompositionBlocs[[#This Row],[Nombre de palette]]="","",VLOOKUP("Palette",ParametrageMat[],6,FALSE)*CompositionBlocs[[#This Row],[Nombre de palette]]),"")</f>
        <v/>
      </c>
      <c r="L34" s="59" t="str">
        <f>IFERROR(IF(CompositionBlocs[[#This Row],[Bande de cerclage (m)]]="","",VLOOKUP("Bande de cerclage",ParametrageMat[],6,FALSE)*CompositionBlocs[[#This Row],[Bande de cerclage (m)]]),"")</f>
        <v/>
      </c>
      <c r="M34" s="20"/>
    </row>
    <row r="35" spans="2:13" ht="25" customHeight="1" x14ac:dyDescent="0.35">
      <c r="B35" s="18"/>
      <c r="C35" s="18"/>
      <c r="D35" s="61"/>
      <c r="E35" s="19" t="str">
        <f>IF(CompositionBlocs[[#This Row],[Types blocs]]="","",93%*CompositionBlocs[[#This Row],[Poids du bloc en kg]])</f>
        <v/>
      </c>
      <c r="F35" s="19" t="str">
        <f>IF(CompositionBlocs[[#This Row],[Types blocs]]="","",7%*CompositionBlocs[[#This Row],[Poids du bloc en kg]])</f>
        <v/>
      </c>
      <c r="G35" s="19"/>
      <c r="H35" s="19"/>
      <c r="I35" s="59" t="str">
        <f>IFERROR(IF(CompositionBlocs[[#This Row],[Types blocs]]="","",VLOOKUP("Terre",ParametrageMat[],6,FALSE)*CompositionBlocs[[#This Row],[Quantité Terre (kg)]]),"")</f>
        <v/>
      </c>
      <c r="J35" s="60" t="str">
        <f>IFERROR(IF(CompositionBlocs[[#This Row],[Types blocs]]="","",VLOOKUP("Ciment",ParametrageMat[],6,FALSE)*CompositionBlocs[[#This Row],[Quantité Ciment (kg)]]),"")</f>
        <v/>
      </c>
      <c r="K35" s="59" t="str">
        <f>IFERROR(IF(CompositionBlocs[[#This Row],[Nombre de palette]]="","",VLOOKUP("Palette",ParametrageMat[],6,FALSE)*CompositionBlocs[[#This Row],[Nombre de palette]]),"")</f>
        <v/>
      </c>
      <c r="L35" s="59" t="str">
        <f>IFERROR(IF(CompositionBlocs[[#This Row],[Bande de cerclage (m)]]="","",VLOOKUP("Bande de cerclage",ParametrageMat[],6,FALSE)*CompositionBlocs[[#This Row],[Bande de cerclage (m)]]),"")</f>
        <v/>
      </c>
      <c r="M35" s="20"/>
    </row>
    <row r="36" spans="2:13" ht="25" customHeight="1" x14ac:dyDescent="0.35">
      <c r="B36" s="18"/>
      <c r="C36" s="18"/>
      <c r="D36" s="61"/>
      <c r="E36" s="19" t="str">
        <f>IF(CompositionBlocs[[#This Row],[Types blocs]]="","",93%*CompositionBlocs[[#This Row],[Poids du bloc en kg]])</f>
        <v/>
      </c>
      <c r="F36" s="19" t="str">
        <f>IF(CompositionBlocs[[#This Row],[Types blocs]]="","",7%*CompositionBlocs[[#This Row],[Poids du bloc en kg]])</f>
        <v/>
      </c>
      <c r="G36" s="19"/>
      <c r="H36" s="19"/>
      <c r="I36" s="59" t="str">
        <f>IFERROR(IF(CompositionBlocs[[#This Row],[Types blocs]]="","",VLOOKUP("Terre",ParametrageMat[],6,FALSE)*CompositionBlocs[[#This Row],[Quantité Terre (kg)]]),"")</f>
        <v/>
      </c>
      <c r="J36" s="60" t="str">
        <f>IFERROR(IF(CompositionBlocs[[#This Row],[Types blocs]]="","",VLOOKUP("Ciment",ParametrageMat[],6,FALSE)*CompositionBlocs[[#This Row],[Quantité Ciment (kg)]]),"")</f>
        <v/>
      </c>
      <c r="K36" s="59" t="str">
        <f>IFERROR(IF(CompositionBlocs[[#This Row],[Nombre de palette]]="","",VLOOKUP("Palette",ParametrageMat[],6,FALSE)*CompositionBlocs[[#This Row],[Nombre de palette]]),"")</f>
        <v/>
      </c>
      <c r="L36" s="59" t="str">
        <f>IFERROR(IF(CompositionBlocs[[#This Row],[Bande de cerclage (m)]]="","",VLOOKUP("Bande de cerclage",ParametrageMat[],6,FALSE)*CompositionBlocs[[#This Row],[Bande de cerclage (m)]]),"")</f>
        <v/>
      </c>
      <c r="M36" s="20"/>
    </row>
    <row r="37" spans="2:13" ht="25" customHeight="1" x14ac:dyDescent="0.35">
      <c r="B37" s="18"/>
      <c r="C37" s="18"/>
      <c r="D37" s="61"/>
      <c r="E37" s="19" t="str">
        <f>IF(CompositionBlocs[[#This Row],[Types blocs]]="","",93%*CompositionBlocs[[#This Row],[Poids du bloc en kg]])</f>
        <v/>
      </c>
      <c r="F37" s="19" t="str">
        <f>IF(CompositionBlocs[[#This Row],[Types blocs]]="","",7%*CompositionBlocs[[#This Row],[Poids du bloc en kg]])</f>
        <v/>
      </c>
      <c r="G37" s="19"/>
      <c r="H37" s="19"/>
      <c r="I37" s="59" t="str">
        <f>IFERROR(IF(CompositionBlocs[[#This Row],[Types blocs]]="","",VLOOKUP("Terre",ParametrageMat[],6,FALSE)*CompositionBlocs[[#This Row],[Quantité Terre (kg)]]),"")</f>
        <v/>
      </c>
      <c r="J37" s="60" t="str">
        <f>IFERROR(IF(CompositionBlocs[[#This Row],[Types blocs]]="","",VLOOKUP("Ciment",ParametrageMat[],6,FALSE)*CompositionBlocs[[#This Row],[Quantité Ciment (kg)]]),"")</f>
        <v/>
      </c>
      <c r="K37" s="59" t="str">
        <f>IFERROR(IF(CompositionBlocs[[#This Row],[Nombre de palette]]="","",VLOOKUP("Palette",ParametrageMat[],6,FALSE)*CompositionBlocs[[#This Row],[Nombre de palette]]),"")</f>
        <v/>
      </c>
      <c r="L37" s="59" t="str">
        <f>IFERROR(IF(CompositionBlocs[[#This Row],[Bande de cerclage (m)]]="","",VLOOKUP("Bande de cerclage",ParametrageMat[],6,FALSE)*CompositionBlocs[[#This Row],[Bande de cerclage (m)]]),"")</f>
        <v/>
      </c>
      <c r="M37" s="20"/>
    </row>
    <row r="38" spans="2:13" ht="25" customHeight="1" x14ac:dyDescent="0.35">
      <c r="B38" s="18"/>
      <c r="C38" s="18"/>
      <c r="D38" s="61"/>
      <c r="E38" s="19" t="str">
        <f>IF(CompositionBlocs[[#This Row],[Types blocs]]="","",93%*CompositionBlocs[[#This Row],[Poids du bloc en kg]])</f>
        <v/>
      </c>
      <c r="F38" s="19" t="str">
        <f>IF(CompositionBlocs[[#This Row],[Types blocs]]="","",7%*CompositionBlocs[[#This Row],[Poids du bloc en kg]])</f>
        <v/>
      </c>
      <c r="G38" s="19"/>
      <c r="H38" s="19"/>
      <c r="I38" s="59" t="str">
        <f>IFERROR(IF(CompositionBlocs[[#This Row],[Types blocs]]="","",VLOOKUP("Terre",ParametrageMat[],6,FALSE)*CompositionBlocs[[#This Row],[Quantité Terre (kg)]]),"")</f>
        <v/>
      </c>
      <c r="J38" s="60" t="str">
        <f>IFERROR(IF(CompositionBlocs[[#This Row],[Types blocs]]="","",VLOOKUP("Ciment",ParametrageMat[],6,FALSE)*CompositionBlocs[[#This Row],[Quantité Ciment (kg)]]),"")</f>
        <v/>
      </c>
      <c r="K38" s="59" t="str">
        <f>IFERROR(IF(CompositionBlocs[[#This Row],[Nombre de palette]]="","",VLOOKUP("Palette",ParametrageMat[],6,FALSE)*CompositionBlocs[[#This Row],[Nombre de palette]]),"")</f>
        <v/>
      </c>
      <c r="L38" s="59" t="str">
        <f>IFERROR(IF(CompositionBlocs[[#This Row],[Bande de cerclage (m)]]="","",VLOOKUP("Bande de cerclage",ParametrageMat[],6,FALSE)*CompositionBlocs[[#This Row],[Bande de cerclage (m)]]),"")</f>
        <v/>
      </c>
      <c r="M38" s="20"/>
    </row>
    <row r="39" spans="2:13" ht="25" customHeight="1" x14ac:dyDescent="0.35">
      <c r="B39" s="18"/>
      <c r="C39" s="18"/>
      <c r="D39" s="61"/>
      <c r="E39" s="19" t="str">
        <f>IF(CompositionBlocs[[#This Row],[Types blocs]]="","",93%*CompositionBlocs[[#This Row],[Poids du bloc en kg]])</f>
        <v/>
      </c>
      <c r="F39" s="19" t="str">
        <f>IF(CompositionBlocs[[#This Row],[Types blocs]]="","",7%*CompositionBlocs[[#This Row],[Poids du bloc en kg]])</f>
        <v/>
      </c>
      <c r="G39" s="19"/>
      <c r="H39" s="19"/>
      <c r="I39" s="59" t="str">
        <f>IFERROR(IF(CompositionBlocs[[#This Row],[Types blocs]]="","",VLOOKUP("Terre",ParametrageMat[],6,FALSE)*CompositionBlocs[[#This Row],[Quantité Terre (kg)]]),"")</f>
        <v/>
      </c>
      <c r="J39" s="60" t="str">
        <f>IFERROR(IF(CompositionBlocs[[#This Row],[Types blocs]]="","",VLOOKUP("Ciment",ParametrageMat[],6,FALSE)*CompositionBlocs[[#This Row],[Quantité Ciment (kg)]]),"")</f>
        <v/>
      </c>
      <c r="K39" s="59" t="str">
        <f>IFERROR(IF(CompositionBlocs[[#This Row],[Nombre de palette]]="","",VLOOKUP("Palette",ParametrageMat[],6,FALSE)*CompositionBlocs[[#This Row],[Nombre de palette]]),"")</f>
        <v/>
      </c>
      <c r="L39" s="59" t="str">
        <f>IFERROR(IF(CompositionBlocs[[#This Row],[Bande de cerclage (m)]]="","",VLOOKUP("Bande de cerclage",ParametrageMat[],6,FALSE)*CompositionBlocs[[#This Row],[Bande de cerclage (m)]]),"")</f>
        <v/>
      </c>
      <c r="M39" s="20"/>
    </row>
    <row r="40" spans="2:13" ht="25" customHeight="1" x14ac:dyDescent="0.35">
      <c r="B40" s="18"/>
      <c r="C40" s="18"/>
      <c r="D40" s="61"/>
      <c r="E40" s="19" t="str">
        <f>IF(CompositionBlocs[[#This Row],[Types blocs]]="","",93%*CompositionBlocs[[#This Row],[Poids du bloc en kg]])</f>
        <v/>
      </c>
      <c r="F40" s="19" t="str">
        <f>IF(CompositionBlocs[[#This Row],[Types blocs]]="","",7%*CompositionBlocs[[#This Row],[Poids du bloc en kg]])</f>
        <v/>
      </c>
      <c r="G40" s="19"/>
      <c r="H40" s="19"/>
      <c r="I40" s="59" t="str">
        <f>IFERROR(IF(CompositionBlocs[[#This Row],[Types blocs]]="","",VLOOKUP("Terre",ParametrageMat[],6,FALSE)*CompositionBlocs[[#This Row],[Quantité Terre (kg)]]),"")</f>
        <v/>
      </c>
      <c r="J40" s="60" t="str">
        <f>IFERROR(IF(CompositionBlocs[[#This Row],[Types blocs]]="","",VLOOKUP("Ciment",ParametrageMat[],6,FALSE)*CompositionBlocs[[#This Row],[Quantité Ciment (kg)]]),"")</f>
        <v/>
      </c>
      <c r="K40" s="59" t="str">
        <f>IFERROR(IF(CompositionBlocs[[#This Row],[Nombre de palette]]="","",VLOOKUP("Palette",ParametrageMat[],6,FALSE)*CompositionBlocs[[#This Row],[Nombre de palette]]),"")</f>
        <v/>
      </c>
      <c r="L40" s="59" t="str">
        <f>IFERROR(IF(CompositionBlocs[[#This Row],[Bande de cerclage (m)]]="","",VLOOKUP("Bande de cerclage",ParametrageMat[],6,FALSE)*CompositionBlocs[[#This Row],[Bande de cerclage (m)]]),"")</f>
        <v/>
      </c>
      <c r="M40" s="20"/>
    </row>
  </sheetData>
  <sheetProtection algorithmName="SHA-512" hashValue="X+g5fhES1GhEOZQSN4G0wRKKjJnBGa0Gx2tXFcUFHJrSd+EjRymTS4kKvBdpwCE2cUS32U/JVHGVpRp8UpT8ZQ==" saltValue="JkArlgtIGjCzmM+t3fUJ7A==" spinCount="100000" sheet="1" sort="0" autoFilter="0" pivotTables="0"/>
  <mergeCells count="3">
    <mergeCell ref="E6:H6"/>
    <mergeCell ref="I6:L6"/>
    <mergeCell ref="B1:N1"/>
  </mergeCell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9"/>
  </sheetPr>
  <dimension ref="A1:M39"/>
  <sheetViews>
    <sheetView showGridLines="0" zoomScale="80" zoomScaleNormal="80" workbookViewId="0">
      <pane ySplit="6" topLeftCell="A7" activePane="bottomLeft" state="frozen"/>
      <selection activeCell="B1" sqref="B1:Q1"/>
      <selection pane="bottomLeft" activeCell="B1" sqref="B1:M1"/>
    </sheetView>
  </sheetViews>
  <sheetFormatPr baseColWidth="10" defaultColWidth="8.7265625" defaultRowHeight="18.5" x14ac:dyDescent="0.35"/>
  <cols>
    <col min="1" max="1" width="8.7265625" style="21"/>
    <col min="2" max="7" width="20.6328125" style="46" customWidth="1"/>
    <col min="8" max="8" width="12.6328125" style="46" customWidth="1"/>
    <col min="9" max="9" width="18.6328125" style="46" customWidth="1"/>
    <col min="10" max="10" width="12.6328125" style="21" customWidth="1"/>
    <col min="11" max="11" width="13.08984375" style="21" customWidth="1"/>
    <col min="12" max="13" width="8.7265625" style="21"/>
  </cols>
  <sheetData>
    <row r="1" spans="2:13" ht="56.5" customHeight="1" x14ac:dyDescent="0.35">
      <c r="B1" s="73" t="s">
        <v>43</v>
      </c>
      <c r="C1" s="73"/>
      <c r="D1" s="73"/>
      <c r="E1" s="73"/>
      <c r="F1" s="73"/>
      <c r="G1" s="73"/>
      <c r="H1" s="73"/>
      <c r="I1" s="73"/>
      <c r="J1" s="73"/>
      <c r="K1" s="73"/>
      <c r="L1" s="73"/>
      <c r="M1" s="73"/>
    </row>
    <row r="2" spans="2:13" ht="8" customHeight="1" x14ac:dyDescent="0.35">
      <c r="B2" s="22"/>
      <c r="C2" s="22"/>
      <c r="D2" s="23"/>
      <c r="E2" s="23"/>
      <c r="F2" s="23"/>
      <c r="G2" s="23"/>
      <c r="H2" s="62"/>
      <c r="I2" s="62"/>
    </row>
    <row r="3" spans="2:13" x14ac:dyDescent="0.35">
      <c r="B3" s="22"/>
      <c r="C3" s="22"/>
      <c r="D3" s="23"/>
      <c r="E3" s="23"/>
      <c r="F3" s="23"/>
      <c r="G3" s="23"/>
      <c r="H3" s="62"/>
      <c r="I3" s="21"/>
    </row>
    <row r="4" spans="2:13" x14ac:dyDescent="0.35">
      <c r="B4" s="24"/>
      <c r="C4" s="24"/>
      <c r="D4" s="24"/>
      <c r="E4" s="24"/>
      <c r="F4" s="24"/>
      <c r="G4" s="24"/>
      <c r="H4" s="63"/>
      <c r="I4" s="21"/>
    </row>
    <row r="5" spans="2:13" x14ac:dyDescent="0.35">
      <c r="B5" s="33"/>
      <c r="C5" s="33"/>
      <c r="D5" s="64"/>
      <c r="E5" s="64"/>
      <c r="F5" s="24"/>
      <c r="G5" s="24"/>
      <c r="H5" s="64"/>
      <c r="I5" s="21"/>
    </row>
    <row r="6" spans="2:13" ht="35" customHeight="1" x14ac:dyDescent="0.35">
      <c r="B6" s="50" t="s">
        <v>11</v>
      </c>
      <c r="C6" s="50" t="s">
        <v>2</v>
      </c>
      <c r="D6" s="50" t="s">
        <v>3</v>
      </c>
      <c r="E6" s="50" t="s">
        <v>7</v>
      </c>
      <c r="F6" s="50" t="s">
        <v>8</v>
      </c>
      <c r="G6" s="50" t="s">
        <v>28</v>
      </c>
      <c r="H6" s="63"/>
      <c r="I6" s="21"/>
    </row>
    <row r="7" spans="2:13" ht="25" customHeight="1" x14ac:dyDescent="0.35">
      <c r="B7" s="15" t="s">
        <v>4</v>
      </c>
      <c r="C7" s="18" t="s">
        <v>15</v>
      </c>
      <c r="D7" s="18" t="s">
        <v>6</v>
      </c>
      <c r="E7" s="16">
        <v>34000</v>
      </c>
      <c r="F7" s="20">
        <v>300</v>
      </c>
      <c r="G7" s="59">
        <f>IFERROR(ParametrageMat[[#This Row],[Prix d''achat]]/ParametrageMat[[#This Row],[PCB]],"")</f>
        <v>8.8235294117647058E-3</v>
      </c>
      <c r="H7" s="63"/>
      <c r="I7" s="21"/>
    </row>
    <row r="8" spans="2:13" ht="25" customHeight="1" x14ac:dyDescent="0.35">
      <c r="B8" s="15" t="s">
        <v>5</v>
      </c>
      <c r="C8" s="18" t="s">
        <v>15</v>
      </c>
      <c r="D8" s="18" t="s">
        <v>6</v>
      </c>
      <c r="E8" s="16">
        <v>50</v>
      </c>
      <c r="F8" s="20">
        <v>14</v>
      </c>
      <c r="G8" s="59">
        <f>IFERROR(ParametrageMat[[#This Row],[Prix d''achat]]/ParametrageMat[[#This Row],[PCB]],"")</f>
        <v>0.28000000000000003</v>
      </c>
      <c r="H8" s="63"/>
      <c r="I8" s="21"/>
    </row>
    <row r="9" spans="2:13" ht="25" customHeight="1" x14ac:dyDescent="0.35">
      <c r="B9" s="15" t="s">
        <v>14</v>
      </c>
      <c r="C9" s="18" t="s">
        <v>9</v>
      </c>
      <c r="D9" s="18" t="s">
        <v>3</v>
      </c>
      <c r="E9" s="16">
        <v>1</v>
      </c>
      <c r="F9" s="20">
        <v>7</v>
      </c>
      <c r="G9" s="59">
        <f>IFERROR(ParametrageMat[[#This Row],[Prix d''achat]]/ParametrageMat[[#This Row],[PCB]],"")</f>
        <v>7</v>
      </c>
      <c r="H9" s="63"/>
      <c r="I9" s="21"/>
    </row>
    <row r="10" spans="2:13" ht="25" customHeight="1" x14ac:dyDescent="0.35">
      <c r="B10" s="15" t="s">
        <v>13</v>
      </c>
      <c r="C10" s="18" t="s">
        <v>9</v>
      </c>
      <c r="D10" s="18" t="s">
        <v>12</v>
      </c>
      <c r="E10" s="16">
        <v>2000</v>
      </c>
      <c r="F10" s="20">
        <v>200</v>
      </c>
      <c r="G10" s="59">
        <f>IFERROR(ParametrageMat[[#This Row],[Prix d''achat]]/ParametrageMat[[#This Row],[PCB]],"")</f>
        <v>0.1</v>
      </c>
      <c r="H10" s="63"/>
      <c r="I10" s="21"/>
    </row>
    <row r="11" spans="2:13" ht="25" customHeight="1" x14ac:dyDescent="0.35">
      <c r="B11" s="15"/>
      <c r="C11" s="18"/>
      <c r="D11" s="18"/>
      <c r="E11" s="16"/>
      <c r="F11" s="20"/>
      <c r="G11" s="59" t="str">
        <f>IFERROR(ParametrageMat[[#This Row],[Prix d''achat]]/ParametrageMat[[#This Row],[PCB]],"")</f>
        <v/>
      </c>
      <c r="H11" s="63"/>
      <c r="I11" s="21"/>
    </row>
    <row r="12" spans="2:13" ht="25" customHeight="1" x14ac:dyDescent="0.35">
      <c r="B12" s="15"/>
      <c r="C12" s="18"/>
      <c r="D12" s="18"/>
      <c r="E12" s="16"/>
      <c r="F12" s="20"/>
      <c r="G12" s="59" t="str">
        <f>IFERROR(ParametrageMat[[#This Row],[Prix d''achat]]/ParametrageMat[[#This Row],[PCB]],"")</f>
        <v/>
      </c>
      <c r="H12" s="63"/>
      <c r="I12" s="21"/>
    </row>
    <row r="13" spans="2:13" ht="25" customHeight="1" x14ac:dyDescent="0.35">
      <c r="B13" s="15"/>
      <c r="C13" s="18"/>
      <c r="D13" s="18"/>
      <c r="E13" s="16"/>
      <c r="F13" s="20"/>
      <c r="G13" s="59" t="str">
        <f>IFERROR(ParametrageMat[[#This Row],[Prix d''achat]]/ParametrageMat[[#This Row],[PCB]],"")</f>
        <v/>
      </c>
      <c r="H13" s="63"/>
      <c r="I13" s="21"/>
    </row>
    <row r="14" spans="2:13" ht="25" customHeight="1" x14ac:dyDescent="0.35">
      <c r="B14" s="15"/>
      <c r="C14" s="18"/>
      <c r="D14" s="18"/>
      <c r="E14" s="16"/>
      <c r="F14" s="20"/>
      <c r="G14" s="59" t="str">
        <f>IFERROR(ParametrageMat[[#This Row],[Prix d''achat]]/ParametrageMat[[#This Row],[PCB]],"")</f>
        <v/>
      </c>
      <c r="H14" s="63"/>
      <c r="I14" s="21"/>
    </row>
    <row r="15" spans="2:13" ht="25" customHeight="1" x14ac:dyDescent="0.35">
      <c r="B15" s="15"/>
      <c r="C15" s="18"/>
      <c r="D15" s="18"/>
      <c r="E15" s="16"/>
      <c r="F15" s="20"/>
      <c r="G15" s="59" t="str">
        <f>IFERROR(ParametrageMat[[#This Row],[Prix d''achat]]/ParametrageMat[[#This Row],[PCB]],"")</f>
        <v/>
      </c>
      <c r="H15" s="63"/>
      <c r="I15" s="21"/>
    </row>
    <row r="16" spans="2:13" ht="25" customHeight="1" x14ac:dyDescent="0.35">
      <c r="B16" s="15"/>
      <c r="C16" s="18"/>
      <c r="D16" s="18"/>
      <c r="E16" s="16"/>
      <c r="F16" s="20"/>
      <c r="G16" s="59" t="str">
        <f>IFERROR(ParametrageMat[[#This Row],[Prix d''achat]]/ParametrageMat[[#This Row],[PCB]],"")</f>
        <v/>
      </c>
      <c r="H16" s="63"/>
      <c r="I16" s="21"/>
    </row>
    <row r="17" spans="2:9" ht="25" customHeight="1" x14ac:dyDescent="0.35">
      <c r="B17" s="15"/>
      <c r="C17" s="18"/>
      <c r="D17" s="18"/>
      <c r="E17" s="16"/>
      <c r="F17" s="20"/>
      <c r="G17" s="59" t="str">
        <f>IFERROR(ParametrageMat[[#This Row],[Prix d''achat]]/ParametrageMat[[#This Row],[PCB]],"")</f>
        <v/>
      </c>
      <c r="H17" s="63"/>
      <c r="I17" s="21"/>
    </row>
    <row r="18" spans="2:9" ht="25" customHeight="1" x14ac:dyDescent="0.35">
      <c r="B18" s="15"/>
      <c r="C18" s="18"/>
      <c r="D18" s="18"/>
      <c r="E18" s="16"/>
      <c r="F18" s="20"/>
      <c r="G18" s="59" t="str">
        <f>IFERROR(ParametrageMat[[#This Row],[Prix d''achat]]/ParametrageMat[[#This Row],[PCB]],"")</f>
        <v/>
      </c>
      <c r="H18" s="63"/>
      <c r="I18" s="21"/>
    </row>
    <row r="19" spans="2:9" ht="25" customHeight="1" x14ac:dyDescent="0.35">
      <c r="B19" s="15"/>
      <c r="C19" s="18"/>
      <c r="D19" s="18"/>
      <c r="E19" s="16"/>
      <c r="F19" s="20"/>
      <c r="G19" s="59" t="str">
        <f>IFERROR(ParametrageMat[[#This Row],[Prix d''achat]]/ParametrageMat[[#This Row],[PCB]],"")</f>
        <v/>
      </c>
      <c r="H19" s="63"/>
      <c r="I19" s="21"/>
    </row>
    <row r="20" spans="2:9" ht="25" customHeight="1" x14ac:dyDescent="0.35">
      <c r="B20" s="15"/>
      <c r="C20" s="18"/>
      <c r="D20" s="18"/>
      <c r="E20" s="16"/>
      <c r="F20" s="20"/>
      <c r="G20" s="59" t="str">
        <f>IFERROR(ParametrageMat[[#This Row],[Prix d''achat]]/ParametrageMat[[#This Row],[PCB]],"")</f>
        <v/>
      </c>
      <c r="H20" s="63"/>
      <c r="I20" s="21"/>
    </row>
    <row r="21" spans="2:9" ht="25" customHeight="1" x14ac:dyDescent="0.35">
      <c r="B21" s="15"/>
      <c r="C21" s="18"/>
      <c r="D21" s="18"/>
      <c r="E21" s="16"/>
      <c r="F21" s="20"/>
      <c r="G21" s="59" t="str">
        <f>IFERROR(ParametrageMat[[#This Row],[Prix d''achat]]/ParametrageMat[[#This Row],[PCB]],"")</f>
        <v/>
      </c>
      <c r="H21" s="63"/>
      <c r="I21" s="21"/>
    </row>
    <row r="22" spans="2:9" ht="25" customHeight="1" x14ac:dyDescent="0.35">
      <c r="B22" s="15"/>
      <c r="C22" s="18"/>
      <c r="D22" s="18"/>
      <c r="E22" s="16"/>
      <c r="F22" s="20"/>
      <c r="G22" s="59" t="str">
        <f>IFERROR(ParametrageMat[[#This Row],[Prix d''achat]]/ParametrageMat[[#This Row],[PCB]],"")</f>
        <v/>
      </c>
      <c r="H22" s="63"/>
      <c r="I22" s="21"/>
    </row>
    <row r="23" spans="2:9" ht="25" customHeight="1" x14ac:dyDescent="0.35">
      <c r="B23" s="15"/>
      <c r="C23" s="18"/>
      <c r="D23" s="18"/>
      <c r="E23" s="16"/>
      <c r="F23" s="20"/>
      <c r="G23" s="59" t="str">
        <f>IFERROR(ParametrageMat[[#This Row],[Prix d''achat]]/ParametrageMat[[#This Row],[PCB]],"")</f>
        <v/>
      </c>
      <c r="H23" s="63"/>
      <c r="I23" s="21"/>
    </row>
    <row r="24" spans="2:9" ht="25" customHeight="1" x14ac:dyDescent="0.35">
      <c r="B24" s="15"/>
      <c r="C24" s="18"/>
      <c r="D24" s="18"/>
      <c r="E24" s="16"/>
      <c r="F24" s="20"/>
      <c r="G24" s="59" t="str">
        <f>IFERROR(ParametrageMat[[#This Row],[Prix d''achat]]/ParametrageMat[[#This Row],[PCB]],"")</f>
        <v/>
      </c>
      <c r="H24" s="63"/>
      <c r="I24" s="21"/>
    </row>
    <row r="25" spans="2:9" ht="25" customHeight="1" x14ac:dyDescent="0.35">
      <c r="B25" s="15"/>
      <c r="C25" s="18"/>
      <c r="D25" s="18"/>
      <c r="E25" s="16"/>
      <c r="F25" s="20"/>
      <c r="G25" s="59" t="str">
        <f>IFERROR(ParametrageMat[[#This Row],[Prix d''achat]]/ParametrageMat[[#This Row],[PCB]],"")</f>
        <v/>
      </c>
      <c r="H25" s="63"/>
      <c r="I25" s="21"/>
    </row>
    <row r="26" spans="2:9" ht="25" customHeight="1" x14ac:dyDescent="0.35">
      <c r="B26" s="15"/>
      <c r="C26" s="18"/>
      <c r="D26" s="18"/>
      <c r="E26" s="16"/>
      <c r="F26" s="20"/>
      <c r="G26" s="59" t="str">
        <f>IFERROR(ParametrageMat[[#This Row],[Prix d''achat]]/ParametrageMat[[#This Row],[PCB]],"")</f>
        <v/>
      </c>
      <c r="H26" s="63"/>
      <c r="I26" s="21"/>
    </row>
    <row r="27" spans="2:9" ht="25" customHeight="1" x14ac:dyDescent="0.35">
      <c r="B27" s="15"/>
      <c r="C27" s="18"/>
      <c r="D27" s="18"/>
      <c r="E27" s="16"/>
      <c r="F27" s="20"/>
      <c r="G27" s="59" t="str">
        <f>IFERROR(ParametrageMat[[#This Row],[Prix d''achat]]/ParametrageMat[[#This Row],[PCB]],"")</f>
        <v/>
      </c>
      <c r="H27" s="63"/>
      <c r="I27" s="21"/>
    </row>
    <row r="28" spans="2:9" ht="25" customHeight="1" x14ac:dyDescent="0.35">
      <c r="B28" s="15"/>
      <c r="C28" s="18"/>
      <c r="D28" s="18"/>
      <c r="E28" s="16"/>
      <c r="F28" s="20"/>
      <c r="G28" s="59" t="str">
        <f>IFERROR(ParametrageMat[[#This Row],[Prix d''achat]]/ParametrageMat[[#This Row],[PCB]],"")</f>
        <v/>
      </c>
      <c r="H28" s="63"/>
      <c r="I28" s="21"/>
    </row>
    <row r="29" spans="2:9" ht="25" customHeight="1" x14ac:dyDescent="0.35">
      <c r="B29" s="15"/>
      <c r="C29" s="18"/>
      <c r="D29" s="18"/>
      <c r="E29" s="16"/>
      <c r="F29" s="20"/>
      <c r="G29" s="59" t="str">
        <f>IFERROR(ParametrageMat[[#This Row],[Prix d''achat]]/ParametrageMat[[#This Row],[PCB]],"")</f>
        <v/>
      </c>
      <c r="H29" s="63"/>
      <c r="I29" s="21"/>
    </row>
    <row r="30" spans="2:9" ht="25" customHeight="1" x14ac:dyDescent="0.35">
      <c r="B30" s="18"/>
      <c r="C30" s="18"/>
      <c r="D30" s="18"/>
      <c r="E30" s="16"/>
      <c r="F30" s="20"/>
      <c r="G30" s="59" t="str">
        <f>IFERROR(ParametrageMat[[#This Row],[Prix d''achat]]/ParametrageMat[[#This Row],[PCB]],"")</f>
        <v/>
      </c>
      <c r="H30" s="63" t="s">
        <v>74</v>
      </c>
      <c r="I30" s="21"/>
    </row>
    <row r="31" spans="2:9" ht="25" customHeight="1" x14ac:dyDescent="0.35">
      <c r="B31" s="18"/>
      <c r="C31" s="18"/>
      <c r="D31" s="18"/>
      <c r="E31" s="16"/>
      <c r="F31" s="20"/>
      <c r="G31" s="59" t="str">
        <f>IFERROR(ParametrageMat[[#This Row],[Prix d''achat]]/ParametrageMat[[#This Row],[PCB]],"")</f>
        <v/>
      </c>
      <c r="H31" s="63" t="s">
        <v>74</v>
      </c>
      <c r="I31" s="21"/>
    </row>
    <row r="32" spans="2:9" ht="25" customHeight="1" x14ac:dyDescent="0.35">
      <c r="B32" s="18"/>
      <c r="C32" s="18"/>
      <c r="D32" s="18"/>
      <c r="E32" s="16"/>
      <c r="F32" s="20"/>
      <c r="G32" s="59" t="str">
        <f>IFERROR(ParametrageMat[[#This Row],[Prix d''achat]]/ParametrageMat[[#This Row],[PCB]],"")</f>
        <v/>
      </c>
      <c r="H32" s="63" t="s">
        <v>74</v>
      </c>
      <c r="I32" s="21"/>
    </row>
    <row r="33" spans="2:9" ht="25" customHeight="1" x14ac:dyDescent="0.35">
      <c r="B33" s="18"/>
      <c r="C33" s="18"/>
      <c r="D33" s="18"/>
      <c r="E33" s="16"/>
      <c r="F33" s="20"/>
      <c r="G33" s="59" t="str">
        <f>IFERROR(ParametrageMat[[#This Row],[Prix d''achat]]/ParametrageMat[[#This Row],[PCB]],"")</f>
        <v/>
      </c>
      <c r="H33" s="63" t="s">
        <v>74</v>
      </c>
      <c r="I33" s="21"/>
    </row>
    <row r="34" spans="2:9" ht="25" customHeight="1" x14ac:dyDescent="0.35">
      <c r="B34" s="18"/>
      <c r="C34" s="18"/>
      <c r="D34" s="18"/>
      <c r="E34" s="16"/>
      <c r="F34" s="20"/>
      <c r="G34" s="59" t="str">
        <f>IFERROR(ParametrageMat[[#This Row],[Prix d''achat]]/ParametrageMat[[#This Row],[PCB]],"")</f>
        <v/>
      </c>
      <c r="H34" s="63" t="s">
        <v>74</v>
      </c>
      <c r="I34" s="21"/>
    </row>
    <row r="35" spans="2:9" ht="25" customHeight="1" x14ac:dyDescent="0.35">
      <c r="B35" s="18"/>
      <c r="C35" s="18"/>
      <c r="D35" s="18"/>
      <c r="E35" s="16"/>
      <c r="F35" s="20"/>
      <c r="G35" s="59" t="str">
        <f>IFERROR(ParametrageMat[[#This Row],[Prix d''achat]]/ParametrageMat[[#This Row],[PCB]],"")</f>
        <v/>
      </c>
      <c r="H35" s="63" t="s">
        <v>74</v>
      </c>
      <c r="I35" s="21"/>
    </row>
    <row r="36" spans="2:9" ht="25" customHeight="1" x14ac:dyDescent="0.35">
      <c r="B36" s="18"/>
      <c r="C36" s="18"/>
      <c r="D36" s="18"/>
      <c r="E36" s="16"/>
      <c r="F36" s="20"/>
      <c r="G36" s="59" t="str">
        <f>IFERROR(ParametrageMat[[#This Row],[Prix d''achat]]/ParametrageMat[[#This Row],[PCB]],"")</f>
        <v/>
      </c>
      <c r="H36" s="63" t="s">
        <v>74</v>
      </c>
      <c r="I36" s="21"/>
    </row>
    <row r="37" spans="2:9" ht="25" customHeight="1" x14ac:dyDescent="0.35">
      <c r="B37" s="18"/>
      <c r="C37" s="18"/>
      <c r="D37" s="18"/>
      <c r="E37" s="16"/>
      <c r="F37" s="20"/>
      <c r="G37" s="59" t="str">
        <f>IFERROR(ParametrageMat[[#This Row],[Prix d''achat]]/ParametrageMat[[#This Row],[PCB]],"")</f>
        <v/>
      </c>
      <c r="H37" s="63" t="s">
        <v>74</v>
      </c>
      <c r="I37" s="21"/>
    </row>
    <row r="38" spans="2:9" ht="25" customHeight="1" x14ac:dyDescent="0.35">
      <c r="B38" s="18"/>
      <c r="C38" s="18"/>
      <c r="D38" s="18"/>
      <c r="E38" s="16"/>
      <c r="F38" s="20"/>
      <c r="G38" s="59" t="str">
        <f>IFERROR(ParametrageMat[[#This Row],[Prix d''achat]]/ParametrageMat[[#This Row],[PCB]],"")</f>
        <v/>
      </c>
      <c r="H38" s="63" t="s">
        <v>74</v>
      </c>
      <c r="I38" s="21"/>
    </row>
    <row r="39" spans="2:9" ht="25" customHeight="1" x14ac:dyDescent="0.35">
      <c r="B39" s="18"/>
      <c r="C39" s="18"/>
      <c r="D39" s="18"/>
      <c r="E39" s="16"/>
      <c r="F39" s="20"/>
      <c r="G39" s="59" t="str">
        <f>IFERROR(ParametrageMat[[#This Row],[Prix d''achat]]/ParametrageMat[[#This Row],[PCB]],"")</f>
        <v/>
      </c>
      <c r="H39" s="63" t="s">
        <v>74</v>
      </c>
      <c r="I39" s="21"/>
    </row>
  </sheetData>
  <sheetProtection algorithmName="SHA-512" hashValue="8PBvHPdWCquVUemVEijDu1Mt5+YEywZUkpfCzA5ML/dvXp1KPhc8cnvhcf6VK9cloaakQc1HetsUUJHPHeZeDA==" saltValue="n8gQPsPIl093ojyWoHrySw==" spinCount="100000" sheet="1" sort="0" autoFilter="0" pivotTables="0"/>
  <mergeCells count="1">
    <mergeCell ref="B1:M1"/>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Cover         </vt:lpstr>
      <vt:lpstr>Déclaration Production</vt:lpstr>
      <vt:lpstr>Déclaration Consommation</vt:lpstr>
      <vt:lpstr>Frais de gestion</vt:lpstr>
      <vt:lpstr>Coûts </vt:lpstr>
      <vt:lpstr>Paramétrage Blocs</vt:lpstr>
      <vt:lpstr>Paramétrage Matières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2020-05-18T16:07:18Z</dcterms:modified>
</cp:coreProperties>
</file>